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GRUPPE\FG_intern\FG_3\Wasserchemische_Gesellschaft_6200\Publikationen\01_Deutsche_Einheitsverfahren_DEV\Excel-Arbeitsblaetter\"/>
    </mc:Choice>
  </mc:AlternateContent>
  <xr:revisionPtr revIDLastSave="0" documentId="13_ncr:1_{78C3DF0A-7128-48F9-BC0D-2E5302E3E5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rechnung" sheetId="1" r:id="rId1"/>
    <sheet name="Beispieldaten aus der Nor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5" i="1" l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44" i="1"/>
  <c r="A16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43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18" i="1"/>
  <c r="C117" i="1"/>
  <c r="B117" i="1"/>
  <c r="A134" i="1"/>
  <c r="A135" i="1"/>
  <c r="A136" i="1"/>
  <c r="A13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17" i="1"/>
  <c r="B109" i="1"/>
  <c r="E109" i="1" s="1"/>
  <c r="B108" i="1"/>
  <c r="E108" i="1" s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B89" i="1"/>
  <c r="E89" i="1" s="1"/>
  <c r="B90" i="1"/>
  <c r="E90" i="1" s="1"/>
  <c r="B91" i="1"/>
  <c r="E91" i="1" s="1"/>
  <c r="B92" i="1"/>
  <c r="E92" i="1" s="1"/>
  <c r="B93" i="1"/>
  <c r="B94" i="1"/>
  <c r="E94" i="1" s="1"/>
  <c r="B95" i="1"/>
  <c r="E95" i="1" s="1"/>
  <c r="B96" i="1"/>
  <c r="E96" i="1" s="1"/>
  <c r="B97" i="1"/>
  <c r="E97" i="1" s="1"/>
  <c r="B98" i="1"/>
  <c r="E98" i="1" s="1"/>
  <c r="B99" i="1"/>
  <c r="E99" i="1" s="1"/>
  <c r="B100" i="1"/>
  <c r="E100" i="1" s="1"/>
  <c r="B101" i="1"/>
  <c r="B102" i="1"/>
  <c r="E102" i="1" s="1"/>
  <c r="B103" i="1"/>
  <c r="E103" i="1" s="1"/>
  <c r="B104" i="1"/>
  <c r="E104" i="1" s="1"/>
  <c r="B105" i="1"/>
  <c r="E105" i="1" s="1"/>
  <c r="B106" i="1"/>
  <c r="E106" i="1" s="1"/>
  <c r="B107" i="1"/>
  <c r="E107" i="1" s="1"/>
  <c r="B88" i="1"/>
  <c r="E88" i="1" s="1"/>
  <c r="C87" i="1"/>
  <c r="B87" i="1"/>
  <c r="A104" i="1"/>
  <c r="A105" i="1"/>
  <c r="A106" i="1"/>
  <c r="A10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87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49" i="1"/>
  <c r="B50" i="1"/>
  <c r="D50" i="1" s="1"/>
  <c r="B51" i="1"/>
  <c r="B52" i="1"/>
  <c r="B53" i="1"/>
  <c r="C53" i="1" s="1"/>
  <c r="B54" i="1"/>
  <c r="D54" i="1" s="1"/>
  <c r="B55" i="1"/>
  <c r="B56" i="1"/>
  <c r="B57" i="1"/>
  <c r="C57" i="1" s="1"/>
  <c r="B58" i="1"/>
  <c r="D58" i="1" s="1"/>
  <c r="B59" i="1"/>
  <c r="B60" i="1"/>
  <c r="B61" i="1"/>
  <c r="C61" i="1" s="1"/>
  <c r="B62" i="1"/>
  <c r="H62" i="1" s="1"/>
  <c r="B63" i="1"/>
  <c r="G63" i="1" s="1"/>
  <c r="B64" i="1"/>
  <c r="E64" i="1" s="1"/>
  <c r="B65" i="1"/>
  <c r="J65" i="1" s="1"/>
  <c r="B66" i="1"/>
  <c r="H66" i="1" s="1"/>
  <c r="B67" i="1"/>
  <c r="G67" i="1" s="1"/>
  <c r="B68" i="1"/>
  <c r="E68" i="1" s="1"/>
  <c r="B49" i="1"/>
  <c r="E49" i="1" s="1"/>
  <c r="B44" i="1"/>
  <c r="B82" i="1" s="1"/>
  <c r="B43" i="1"/>
  <c r="B42" i="1"/>
  <c r="B45" i="1"/>
  <c r="D17" i="1"/>
  <c r="D18" i="1"/>
  <c r="D19" i="1"/>
  <c r="D20" i="1"/>
  <c r="D21" i="1"/>
  <c r="D22" i="1"/>
  <c r="D23" i="1"/>
  <c r="D24" i="1"/>
  <c r="D25" i="1"/>
  <c r="D26" i="1"/>
  <c r="D27" i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16" i="1"/>
  <c r="G16" i="1"/>
  <c r="G20" i="1"/>
  <c r="G18" i="1"/>
  <c r="D101" i="1" l="1"/>
  <c r="D93" i="1"/>
  <c r="D91" i="1"/>
  <c r="D95" i="1"/>
  <c r="D99" i="1"/>
  <c r="D103" i="1"/>
  <c r="D107" i="1"/>
  <c r="G62" i="1"/>
  <c r="C67" i="1"/>
  <c r="B140" i="1"/>
  <c r="D90" i="1"/>
  <c r="D94" i="1"/>
  <c r="D102" i="1"/>
  <c r="D88" i="1"/>
  <c r="D92" i="1"/>
  <c r="D96" i="1"/>
  <c r="D100" i="1"/>
  <c r="D104" i="1"/>
  <c r="D98" i="1"/>
  <c r="D106" i="1"/>
  <c r="H59" i="1"/>
  <c r="D105" i="1"/>
  <c r="D97" i="1"/>
  <c r="D89" i="1"/>
  <c r="E101" i="1"/>
  <c r="E93" i="1"/>
  <c r="H60" i="1"/>
  <c r="H56" i="1"/>
  <c r="H52" i="1"/>
  <c r="E65" i="1"/>
  <c r="H65" i="1"/>
  <c r="C63" i="1"/>
  <c r="F69" i="1"/>
  <c r="G66" i="1"/>
  <c r="D64" i="1"/>
  <c r="E60" i="1"/>
  <c r="E52" i="1"/>
  <c r="I64" i="1"/>
  <c r="G59" i="1"/>
  <c r="G55" i="1"/>
  <c r="G51" i="1"/>
  <c r="C68" i="1"/>
  <c r="E66" i="1"/>
  <c r="D65" i="1"/>
  <c r="C64" i="1"/>
  <c r="E62" i="1"/>
  <c r="D59" i="1"/>
  <c r="D51" i="1"/>
  <c r="G65" i="1"/>
  <c r="H68" i="1"/>
  <c r="H64" i="1"/>
  <c r="H55" i="1"/>
  <c r="I67" i="1"/>
  <c r="I63" i="1"/>
  <c r="J67" i="1"/>
  <c r="J63" i="1"/>
  <c r="J68" i="1"/>
  <c r="J64" i="1"/>
  <c r="E67" i="1"/>
  <c r="D66" i="1"/>
  <c r="C65" i="1"/>
  <c r="E63" i="1"/>
  <c r="D62" i="1"/>
  <c r="E56" i="1"/>
  <c r="G68" i="1"/>
  <c r="G64" i="1"/>
  <c r="H67" i="1"/>
  <c r="H63" i="1"/>
  <c r="H51" i="1"/>
  <c r="I66" i="1"/>
  <c r="I62" i="1"/>
  <c r="J66" i="1"/>
  <c r="J62" i="1"/>
  <c r="D68" i="1"/>
  <c r="I68" i="1"/>
  <c r="D67" i="1"/>
  <c r="C66" i="1"/>
  <c r="D63" i="1"/>
  <c r="C62" i="1"/>
  <c r="D55" i="1"/>
  <c r="I65" i="1"/>
  <c r="C58" i="1"/>
  <c r="C50" i="1"/>
  <c r="G58" i="1"/>
  <c r="G50" i="1"/>
  <c r="C49" i="1"/>
  <c r="E61" i="1"/>
  <c r="D60" i="1"/>
  <c r="C59" i="1"/>
  <c r="E57" i="1"/>
  <c r="D56" i="1"/>
  <c r="C55" i="1"/>
  <c r="E53" i="1"/>
  <c r="D52" i="1"/>
  <c r="C51" i="1"/>
  <c r="G49" i="1"/>
  <c r="G61" i="1"/>
  <c r="G57" i="1"/>
  <c r="G53" i="1"/>
  <c r="H58" i="1"/>
  <c r="H54" i="1"/>
  <c r="H50" i="1"/>
  <c r="C54" i="1"/>
  <c r="D49" i="1"/>
  <c r="D61" i="1"/>
  <c r="C60" i="1"/>
  <c r="E58" i="1"/>
  <c r="D57" i="1"/>
  <c r="C56" i="1"/>
  <c r="E54" i="1"/>
  <c r="D53" i="1"/>
  <c r="C52" i="1"/>
  <c r="E50" i="1"/>
  <c r="B69" i="1"/>
  <c r="G60" i="1"/>
  <c r="G56" i="1"/>
  <c r="G52" i="1"/>
  <c r="H49" i="1"/>
  <c r="H61" i="1"/>
  <c r="H57" i="1"/>
  <c r="H53" i="1"/>
  <c r="G54" i="1"/>
  <c r="E59" i="1"/>
  <c r="E55" i="1"/>
  <c r="E51" i="1"/>
  <c r="D36" i="1"/>
  <c r="E17" i="1" s="1"/>
  <c r="B142" i="1" l="1"/>
  <c r="B141" i="1"/>
  <c r="E69" i="1"/>
  <c r="G69" i="1"/>
  <c r="D69" i="1"/>
  <c r="H69" i="1"/>
  <c r="C69" i="1"/>
  <c r="E27" i="1"/>
  <c r="E25" i="1"/>
  <c r="E16" i="1"/>
  <c r="E18" i="1"/>
  <c r="E23" i="1"/>
  <c r="E24" i="1"/>
  <c r="E21" i="1"/>
  <c r="E26" i="1"/>
  <c r="E19" i="1"/>
  <c r="D37" i="1"/>
  <c r="J32" i="1" s="1"/>
  <c r="E22" i="1"/>
  <c r="E20" i="1"/>
  <c r="B70" i="1" l="1"/>
  <c r="B71" i="1"/>
  <c r="B72" i="1"/>
  <c r="B73" i="1"/>
  <c r="B74" i="1" l="1"/>
  <c r="B76" i="1" s="1"/>
  <c r="B77" i="1" l="1"/>
  <c r="B112" i="1" l="1"/>
  <c r="B111" i="1"/>
  <c r="B78" i="1"/>
  <c r="I58" i="1" s="1"/>
  <c r="J58" i="1" s="1"/>
  <c r="I54" i="1"/>
  <c r="J54" i="1" s="1"/>
  <c r="I52" i="1"/>
  <c r="J52" i="1" s="1"/>
  <c r="I50" i="1"/>
  <c r="J50" i="1" s="1"/>
  <c r="I51" i="1"/>
  <c r="J51" i="1" s="1"/>
  <c r="I55" i="1"/>
  <c r="J55" i="1" s="1"/>
  <c r="I49" i="1"/>
  <c r="J49" i="1" s="1"/>
  <c r="I56" i="1"/>
  <c r="J56" i="1" s="1"/>
  <c r="I53" i="1"/>
  <c r="J53" i="1" s="1"/>
  <c r="I59" i="1"/>
  <c r="J59" i="1" s="1"/>
  <c r="I57" i="1" l="1"/>
  <c r="J57" i="1" s="1"/>
  <c r="D121" i="1"/>
  <c r="D124" i="1"/>
  <c r="D127" i="1"/>
  <c r="D125" i="1"/>
  <c r="D126" i="1"/>
  <c r="D136" i="1"/>
  <c r="D120" i="1"/>
  <c r="D123" i="1"/>
  <c r="D118" i="1"/>
  <c r="D122" i="1"/>
  <c r="D133" i="1"/>
  <c r="D132" i="1"/>
  <c r="D135" i="1"/>
  <c r="D119" i="1"/>
  <c r="D134" i="1"/>
  <c r="D129" i="1"/>
  <c r="D128" i="1"/>
  <c r="D131" i="1"/>
  <c r="D137" i="1"/>
  <c r="D130" i="1"/>
  <c r="I61" i="1"/>
  <c r="J61" i="1" s="1"/>
  <c r="I60" i="1"/>
  <c r="J60" i="1" s="1"/>
  <c r="J69" i="1" l="1"/>
  <c r="E76" i="1" s="1"/>
  <c r="B80" i="1" s="1"/>
  <c r="B81" i="1" s="1"/>
  <c r="F82" i="1" s="1"/>
</calcChain>
</file>

<file path=xl/sharedStrings.xml><?xml version="1.0" encoding="utf-8"?>
<sst xmlns="http://schemas.openxmlformats.org/spreadsheetml/2006/main" count="101" uniqueCount="88">
  <si>
    <t>Copyright © 2020, Details s.u.</t>
  </si>
  <si>
    <t>Parameter</t>
  </si>
  <si>
    <t xml:space="preserve">Analysenverfahren </t>
  </si>
  <si>
    <t xml:space="preserve">Einheit der Gehaltsangaben (x-Achse) </t>
  </si>
  <si>
    <t>Einheit der Anzeigen (y-Achse)</t>
  </si>
  <si>
    <t xml:space="preserve">durchgeführt von  </t>
  </si>
  <si>
    <t xml:space="preserve">am (Datum) </t>
  </si>
  <si>
    <t xml:space="preserve">freigegeben von  </t>
  </si>
  <si>
    <t>Blei</t>
  </si>
  <si>
    <t>mg/l</t>
  </si>
  <si>
    <t>counts</t>
  </si>
  <si>
    <t>lfd-Nr</t>
  </si>
  <si>
    <t>Gehalte (x)</t>
  </si>
  <si>
    <t>Anzeige (y)</t>
  </si>
  <si>
    <t>Abweichung vom Steigungs-median</t>
  </si>
  <si>
    <t>---</t>
  </si>
  <si>
    <t>Steigungsmedian</t>
  </si>
  <si>
    <t>Anzeige in</t>
  </si>
  <si>
    <t>Gehalt in</t>
  </si>
  <si>
    <t>Visuelle Prüfung:</t>
  </si>
  <si>
    <t>tolerierte Abweichung zum Median</t>
  </si>
  <si>
    <t>tolerierte Abweichung nach unten:</t>
  </si>
  <si>
    <t>Steigung vom nächsten Punkt</t>
  </si>
  <si>
    <t>Beispiel B.1</t>
  </si>
  <si>
    <t>Nitrit µg/l</t>
  </si>
  <si>
    <t>Ext</t>
  </si>
  <si>
    <t>Beispiel B.2</t>
  </si>
  <si>
    <t>Ammonium µg/l</t>
  </si>
  <si>
    <t>Beispiel B.3</t>
  </si>
  <si>
    <t>Cu in mg/l</t>
  </si>
  <si>
    <t>counts/s</t>
  </si>
  <si>
    <t>Pb in mg/l</t>
  </si>
  <si>
    <t>Beispiel B.4</t>
  </si>
  <si>
    <t>Beispiel B.5</t>
  </si>
  <si>
    <t>Desisopropylatrazin in µg/l</t>
  </si>
  <si>
    <t>AU</t>
  </si>
  <si>
    <t>Beispiel B.6</t>
  </si>
  <si>
    <t>Carbamazepin in µg/l</t>
  </si>
  <si>
    <t>Linear:</t>
  </si>
  <si>
    <t>x</t>
  </si>
  <si>
    <t>y</t>
  </si>
  <si>
    <t>N</t>
  </si>
  <si>
    <t>Summe</t>
  </si>
  <si>
    <t>xy</t>
  </si>
  <si>
    <t>Quadratisch:</t>
  </si>
  <si>
    <t>Ergebnis Mandel-Test:</t>
  </si>
  <si>
    <t>Mandel-Test (Anhang A):</t>
  </si>
  <si>
    <t>Empirischer Krümmungstest (Anhang C):</t>
  </si>
  <si>
    <t>lfd. Nr.</t>
  </si>
  <si>
    <t>y/x</t>
  </si>
  <si>
    <r>
      <t>R</t>
    </r>
    <r>
      <rPr>
        <vertAlign val="subscript"/>
        <sz val="11"/>
        <color theme="1"/>
        <rFont val="Calibri"/>
        <family val="2"/>
        <scheme val="minor"/>
      </rPr>
      <t>0;unten</t>
    </r>
  </si>
  <si>
    <r>
      <t>R</t>
    </r>
    <r>
      <rPr>
        <vertAlign val="subscript"/>
        <sz val="11"/>
        <color theme="1"/>
        <rFont val="Calibri"/>
        <family val="2"/>
        <scheme val="minor"/>
      </rPr>
      <t>0;oben</t>
    </r>
  </si>
  <si>
    <t>lg x</t>
  </si>
  <si>
    <t>min</t>
  </si>
  <si>
    <t>max</t>
  </si>
  <si>
    <t>(y-a)/x</t>
  </si>
  <si>
    <t>Krümmungstest mit Offset-korrigierter Responsivität (Anmerkung 3 in Kap. C.2)</t>
  </si>
  <si>
    <t>Krümmungstest unter Verwendung des Medians der Responsivitäten (Anmerkung 5 in Kap C.2)</t>
  </si>
  <si>
    <t>med(y/x)</t>
  </si>
  <si>
    <r>
      <t>b</t>
    </r>
    <r>
      <rPr>
        <vertAlign val="subscript"/>
        <sz val="10"/>
        <color theme="1"/>
        <rFont val="Calibri"/>
        <family val="2"/>
        <scheme val="minor"/>
      </rPr>
      <t>1</t>
    </r>
  </si>
  <si>
    <r>
      <t>a</t>
    </r>
    <r>
      <rPr>
        <vertAlign val="subscript"/>
        <sz val="10"/>
        <color theme="1"/>
        <rFont val="Calibri"/>
        <family val="2"/>
        <scheme val="minor"/>
      </rPr>
      <t>1</t>
    </r>
  </si>
  <si>
    <r>
      <t>s</t>
    </r>
    <r>
      <rPr>
        <vertAlign val="subscript"/>
        <sz val="10"/>
        <color theme="1"/>
        <rFont val="Calibri"/>
        <family val="2"/>
        <scheme val="minor"/>
      </rPr>
      <t>y1</t>
    </r>
  </si>
  <si>
    <r>
      <t>x</t>
    </r>
    <r>
      <rPr>
        <vertAlign val="superscript"/>
        <sz val="10"/>
        <color theme="1"/>
        <rFont val="Calibri"/>
        <family val="2"/>
        <scheme val="minor"/>
      </rPr>
      <t>2</t>
    </r>
  </si>
  <si>
    <r>
      <t>x</t>
    </r>
    <r>
      <rPr>
        <vertAlign val="superscript"/>
        <sz val="10"/>
        <color theme="1"/>
        <rFont val="Calibri"/>
        <family val="2"/>
        <scheme val="minor"/>
      </rPr>
      <t>3</t>
    </r>
  </si>
  <si>
    <r>
      <t>x</t>
    </r>
    <r>
      <rPr>
        <vertAlign val="superscript"/>
        <sz val="10"/>
        <color theme="1"/>
        <rFont val="Calibri"/>
        <family val="2"/>
        <scheme val="minor"/>
      </rPr>
      <t>4</t>
    </r>
  </si>
  <si>
    <r>
      <t>x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y</t>
    </r>
  </si>
  <si>
    <r>
      <t>Q</t>
    </r>
    <r>
      <rPr>
        <vertAlign val="subscript"/>
        <sz val="10"/>
        <color theme="1"/>
        <rFont val="Calibri"/>
        <family val="2"/>
        <scheme val="minor"/>
      </rPr>
      <t>xx</t>
    </r>
  </si>
  <si>
    <r>
      <t>Q</t>
    </r>
    <r>
      <rPr>
        <vertAlign val="subscript"/>
        <sz val="10"/>
        <color theme="1"/>
        <rFont val="Calibri"/>
        <family val="2"/>
        <scheme val="minor"/>
      </rPr>
      <t>xy</t>
    </r>
  </si>
  <si>
    <r>
      <t>Q</t>
    </r>
    <r>
      <rPr>
        <vertAlign val="subscript"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>3</t>
    </r>
  </si>
  <si>
    <r>
      <t>Q</t>
    </r>
    <r>
      <rPr>
        <vertAlign val="subscript"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>4</t>
    </r>
  </si>
  <si>
    <r>
      <t>Q</t>
    </r>
    <r>
      <rPr>
        <vertAlign val="subscript"/>
        <sz val="10"/>
        <color theme="1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>2</t>
    </r>
    <r>
      <rPr>
        <vertAlign val="subscript"/>
        <sz val="10"/>
        <color theme="1"/>
        <rFont val="Calibri"/>
        <family val="2"/>
        <scheme val="minor"/>
      </rPr>
      <t>y</t>
    </r>
  </si>
  <si>
    <r>
      <t>c</t>
    </r>
    <r>
      <rPr>
        <vertAlign val="subscript"/>
        <sz val="10"/>
        <color theme="1"/>
        <rFont val="Calibri"/>
        <family val="2"/>
        <scheme val="minor"/>
      </rPr>
      <t>2</t>
    </r>
  </si>
  <si>
    <r>
      <t>s</t>
    </r>
    <r>
      <rPr>
        <vertAlign val="subscript"/>
        <sz val="10"/>
        <color theme="1"/>
        <rFont val="Calibri"/>
        <family val="2"/>
        <scheme val="minor"/>
      </rPr>
      <t>y2</t>
    </r>
  </si>
  <si>
    <r>
      <t>b</t>
    </r>
    <r>
      <rPr>
        <vertAlign val="subscript"/>
        <sz val="10"/>
        <color theme="1"/>
        <rFont val="Calibri"/>
        <family val="2"/>
        <scheme val="minor"/>
      </rPr>
      <t>2</t>
    </r>
  </si>
  <si>
    <r>
      <t>a</t>
    </r>
    <r>
      <rPr>
        <vertAlign val="subscript"/>
        <sz val="10"/>
        <color theme="1"/>
        <rFont val="Calibri"/>
        <family val="2"/>
        <scheme val="minor"/>
      </rPr>
      <t>2</t>
    </r>
  </si>
  <si>
    <r>
      <t>DS</t>
    </r>
    <r>
      <rPr>
        <vertAlign val="superscript"/>
        <sz val="10"/>
        <color theme="1"/>
        <rFont val="Calibri"/>
        <family val="2"/>
        <scheme val="minor"/>
      </rPr>
      <t>2</t>
    </r>
  </si>
  <si>
    <r>
      <t>F</t>
    </r>
    <r>
      <rPr>
        <vertAlign val="subscript"/>
        <sz val="10"/>
        <color theme="1"/>
        <rFont val="Calibri"/>
        <family val="2"/>
        <scheme val="minor"/>
      </rPr>
      <t>calc</t>
    </r>
  </si>
  <si>
    <t>Beispiel C.1</t>
  </si>
  <si>
    <t>Beispiel C.2</t>
  </si>
  <si>
    <t>Chlorid in mg/l</t>
  </si>
  <si>
    <t>Beispiel C.3</t>
  </si>
  <si>
    <t>Fe in mg/l</t>
  </si>
  <si>
    <t>ICP-OES</t>
  </si>
  <si>
    <t>tolerierte Abweichung (Punkt-zu-Punkt)</t>
  </si>
  <si>
    <t>tolerierte Abweichung (Krümmungstest)</t>
  </si>
  <si>
    <t xml:space="preserve">Schätzung des linearen Bereichs nach DIN 38402 - 51:2017 über Punkt-zu-Punkt-Steigungen, </t>
  </si>
  <si>
    <t>empirischen Krümmungstest und Mandel-Test</t>
  </si>
  <si>
    <t xml:space="preserve"> v 2.1  20.07.2021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</si>
</sst>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vertAlign val="subscript"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2" fillId="2" borderId="0" xfId="0" applyFont="1" applyFill="1" applyProtection="1"/>
    <xf numFmtId="0" fontId="4" fillId="0" borderId="0" xfId="0" applyFont="1"/>
    <xf numFmtId="0" fontId="5" fillId="2" borderId="0" xfId="0" applyFont="1" applyFill="1" applyProtection="1"/>
    <xf numFmtId="0" fontId="4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1" fillId="2" borderId="0" xfId="0" applyFont="1" applyFill="1"/>
    <xf numFmtId="0" fontId="0" fillId="2" borderId="0" xfId="0" quotePrefix="1" applyFill="1" applyAlignment="1">
      <alignment horizontal="right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7" fillId="2" borderId="0" xfId="0" applyFont="1" applyFill="1" applyAlignment="1">
      <alignment vertical="top"/>
    </xf>
    <xf numFmtId="0" fontId="4" fillId="2" borderId="3" xfId="0" applyFont="1" applyFill="1" applyBorder="1"/>
    <xf numFmtId="0" fontId="4" fillId="2" borderId="2" xfId="0" quotePrefix="1" applyFont="1" applyFill="1" applyBorder="1" applyAlignment="1">
      <alignment horizontal="right"/>
    </xf>
    <xf numFmtId="0" fontId="4" fillId="2" borderId="9" xfId="0" quotePrefix="1" applyFont="1" applyFill="1" applyBorder="1" applyAlignment="1">
      <alignment horizontal="right"/>
    </xf>
    <xf numFmtId="0" fontId="4" fillId="2" borderId="3" xfId="0" quotePrefix="1" applyFont="1" applyFill="1" applyBorder="1" applyAlignment="1">
      <alignment horizontal="right"/>
    </xf>
    <xf numFmtId="0" fontId="4" fillId="2" borderId="10" xfId="0" quotePrefix="1" applyFont="1" applyFill="1" applyBorder="1" applyAlignment="1">
      <alignment horizontal="right"/>
    </xf>
    <xf numFmtId="0" fontId="4" fillId="2" borderId="4" xfId="0" applyFont="1" applyFill="1" applyBorder="1"/>
    <xf numFmtId="0" fontId="4" fillId="2" borderId="4" xfId="0" quotePrefix="1" applyFont="1" applyFill="1" applyBorder="1" applyAlignment="1">
      <alignment horizontal="center"/>
    </xf>
    <xf numFmtId="0" fontId="4" fillId="2" borderId="11" xfId="0" quotePrefix="1" applyFont="1" applyFill="1" applyBorder="1" applyAlignment="1">
      <alignment horizontal="center"/>
    </xf>
    <xf numFmtId="0" fontId="7" fillId="2" borderId="0" xfId="0" applyFont="1" applyFill="1"/>
    <xf numFmtId="0" fontId="4" fillId="3" borderId="2" xfId="0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4" fillId="3" borderId="7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8" xfId="0" applyFont="1" applyFill="1" applyBorder="1" applyProtection="1">
      <protection locked="0"/>
    </xf>
    <xf numFmtId="0" fontId="4" fillId="2" borderId="0" xfId="0" applyFont="1" applyFill="1" applyAlignment="1">
      <alignment horizontal="left"/>
    </xf>
    <xf numFmtId="164" fontId="4" fillId="3" borderId="0" xfId="0" applyNumberFormat="1" applyFont="1" applyFill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>
      <alignment horizontal="left"/>
    </xf>
    <xf numFmtId="164" fontId="4" fillId="3" borderId="0" xfId="0" applyNumberFormat="1" applyFont="1" applyFill="1" applyAlignment="1" applyProtection="1">
      <alignment horizontal="left"/>
      <protection locked="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Berechnung!$G$16</c:f>
          <c:strCache>
            <c:ptCount val="1"/>
            <c:pt idx="0">
              <c:v>Blei mit ICP-OES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6223431162013841"/>
                  <c:y val="-5.046296296296296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trendline>
            <c:spPr>
              <a:ln w="12700" cap="rnd">
                <a:solidFill>
                  <a:schemeClr val="tx1"/>
                </a:solidFill>
                <a:prstDash val="dash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9.9250298258172276E-2"/>
                  <c:y val="0.3421759259259259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Berechnung!$B$16:$B$35</c:f>
              <c:numCache>
                <c:formatCode>General</c:formatCode>
                <c:ptCount val="20"/>
                <c:pt idx="0">
                  <c:v>0.01</c:v>
                </c:pt>
                <c:pt idx="1">
                  <c:v>0.02</c:v>
                </c:pt>
                <c:pt idx="2">
                  <c:v>0.05</c:v>
                </c:pt>
                <c:pt idx="3">
                  <c:v>0.1</c:v>
                </c:pt>
                <c:pt idx="4">
                  <c:v>0.2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10</c:v>
                </c:pt>
                <c:pt idx="10">
                  <c:v>20</c:v>
                </c:pt>
                <c:pt idx="11">
                  <c:v>50</c:v>
                </c:pt>
                <c:pt idx="12">
                  <c:v>100</c:v>
                </c:pt>
              </c:numCache>
            </c:numRef>
          </c:xVal>
          <c:yVal>
            <c:numRef>
              <c:f>Berechnung!$C$16:$C$35</c:f>
              <c:numCache>
                <c:formatCode>General</c:formatCode>
                <c:ptCount val="20"/>
                <c:pt idx="0">
                  <c:v>24.17</c:v>
                </c:pt>
                <c:pt idx="1">
                  <c:v>51.28</c:v>
                </c:pt>
                <c:pt idx="2">
                  <c:v>126.51</c:v>
                </c:pt>
                <c:pt idx="3">
                  <c:v>250.71</c:v>
                </c:pt>
                <c:pt idx="4">
                  <c:v>512.29999999999995</c:v>
                </c:pt>
                <c:pt idx="5">
                  <c:v>1279.54</c:v>
                </c:pt>
                <c:pt idx="6">
                  <c:v>2513.75</c:v>
                </c:pt>
                <c:pt idx="7">
                  <c:v>5078.3900000000003</c:v>
                </c:pt>
                <c:pt idx="8">
                  <c:v>12747.17</c:v>
                </c:pt>
                <c:pt idx="9">
                  <c:v>24724.14</c:v>
                </c:pt>
                <c:pt idx="10">
                  <c:v>52998.47</c:v>
                </c:pt>
                <c:pt idx="11">
                  <c:v>121039.76</c:v>
                </c:pt>
                <c:pt idx="12">
                  <c:v>228838.38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8B-4162-844F-8F3EA5825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587192"/>
        <c:axId val="566585224"/>
      </c:scatterChart>
      <c:valAx>
        <c:axId val="566587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Berechnung!$G$20</c:f>
              <c:strCache>
                <c:ptCount val="1"/>
                <c:pt idx="0">
                  <c:v>Gehalt in mg/l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6585224"/>
        <c:crosses val="autoZero"/>
        <c:crossBetween val="midCat"/>
      </c:valAx>
      <c:valAx>
        <c:axId val="566585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Berechnung!$G$18</c:f>
              <c:strCache>
                <c:ptCount val="1"/>
                <c:pt idx="0">
                  <c:v>Anzeige in counts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6587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100"/>
              <a:t>Punkt-zu-Punkt-Steigungen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Berechnung!$A$16:$A$34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Berechnung!$E$16:$E$34</c:f>
              <c:numCache>
                <c:formatCode>General</c:formatCode>
                <c:ptCount val="19"/>
                <c:pt idx="0">
                  <c:v>179.03666666666686</c:v>
                </c:pt>
                <c:pt idx="1">
                  <c:v>-24.296666666666624</c:v>
                </c:pt>
                <c:pt idx="2">
                  <c:v>-47.963333333333139</c:v>
                </c:pt>
                <c:pt idx="3">
                  <c:v>83.936666666666042</c:v>
                </c:pt>
                <c:pt idx="4">
                  <c:v>25.503333333333558</c:v>
                </c:pt>
                <c:pt idx="5">
                  <c:v>-63.543333333333067</c:v>
                </c:pt>
                <c:pt idx="6">
                  <c:v>32.676666666667188</c:v>
                </c:pt>
                <c:pt idx="7">
                  <c:v>24.296666666666624</c:v>
                </c:pt>
                <c:pt idx="8">
                  <c:v>-136.56933333333336</c:v>
                </c:pt>
                <c:pt idx="9">
                  <c:v>295.46966666666685</c:v>
                </c:pt>
                <c:pt idx="10">
                  <c:v>-263.92033333333347</c:v>
                </c:pt>
                <c:pt idx="11">
                  <c:v>-375.99093333333303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A-42B0-AA65-BB1D3DF78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23"/>
        <c:axId val="743590592"/>
        <c:axId val="743595840"/>
      </c:barChart>
      <c:lineChart>
        <c:grouping val="standard"/>
        <c:varyColors val="0"/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diamond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Berechnung!$E$16:$E$34</c:f>
              <c:numCache>
                <c:formatCode>General</c:formatCode>
                <c:ptCount val="19"/>
                <c:pt idx="0">
                  <c:v>179.03666666666686</c:v>
                </c:pt>
                <c:pt idx="1">
                  <c:v>-24.296666666666624</c:v>
                </c:pt>
                <c:pt idx="2">
                  <c:v>-47.963333333333139</c:v>
                </c:pt>
                <c:pt idx="3">
                  <c:v>83.936666666666042</c:v>
                </c:pt>
                <c:pt idx="4">
                  <c:v>25.503333333333558</c:v>
                </c:pt>
                <c:pt idx="5">
                  <c:v>-63.543333333333067</c:v>
                </c:pt>
                <c:pt idx="6">
                  <c:v>32.676666666667188</c:v>
                </c:pt>
                <c:pt idx="7">
                  <c:v>24.296666666666624</c:v>
                </c:pt>
                <c:pt idx="8">
                  <c:v>-136.56933333333336</c:v>
                </c:pt>
                <c:pt idx="9">
                  <c:v>295.46966666666685</c:v>
                </c:pt>
                <c:pt idx="10">
                  <c:v>-263.92033333333347</c:v>
                </c:pt>
                <c:pt idx="11">
                  <c:v>-375.99093333333303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A-42B0-AA65-BB1D3DF783C6}"/>
            </c:ext>
          </c:extLst>
        </c:ser>
        <c:ser>
          <c:idx val="2"/>
          <c:order val="2"/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(Berechnung!$D$37,Berechnung!$D$37,Berechnung!$D$37,Berechnung!$D$37,Berechnung!$D$37,Berechnung!$D$37,Berechnung!$D$37,Berechnung!$D$37,Berechnung!$D$37,Berechnung!$D$37,Berechnung!$D$37,Berechnung!$D$37,Berechnung!$D$37,Berechnung!$D$37,Berechnung!$D$37,Berechnung!$D$37,Berechnung!$D$37,Berechnung!$D$37,Berechnung!$D$37)</c:f>
              <c:numCache>
                <c:formatCode>General</c:formatCode>
                <c:ptCount val="19"/>
                <c:pt idx="0">
                  <c:v>253.19633333333331</c:v>
                </c:pt>
                <c:pt idx="1">
                  <c:v>253.19633333333331</c:v>
                </c:pt>
                <c:pt idx="2">
                  <c:v>253.19633333333331</c:v>
                </c:pt>
                <c:pt idx="3">
                  <c:v>253.19633333333331</c:v>
                </c:pt>
                <c:pt idx="4">
                  <c:v>253.19633333333331</c:v>
                </c:pt>
                <c:pt idx="5">
                  <c:v>253.19633333333331</c:v>
                </c:pt>
                <c:pt idx="6">
                  <c:v>253.19633333333331</c:v>
                </c:pt>
                <c:pt idx="7">
                  <c:v>253.19633333333331</c:v>
                </c:pt>
                <c:pt idx="8">
                  <c:v>253.19633333333331</c:v>
                </c:pt>
                <c:pt idx="9">
                  <c:v>253.19633333333331</c:v>
                </c:pt>
                <c:pt idx="10">
                  <c:v>253.19633333333331</c:v>
                </c:pt>
                <c:pt idx="11">
                  <c:v>253.19633333333331</c:v>
                </c:pt>
                <c:pt idx="12">
                  <c:v>253.19633333333331</c:v>
                </c:pt>
                <c:pt idx="13">
                  <c:v>253.19633333333331</c:v>
                </c:pt>
                <c:pt idx="14">
                  <c:v>253.19633333333331</c:v>
                </c:pt>
                <c:pt idx="15">
                  <c:v>253.19633333333331</c:v>
                </c:pt>
                <c:pt idx="16">
                  <c:v>253.19633333333331</c:v>
                </c:pt>
                <c:pt idx="17">
                  <c:v>253.19633333333331</c:v>
                </c:pt>
                <c:pt idx="18">
                  <c:v>253.19633333333331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EA-42B0-AA65-BB1D3DF783C6}"/>
            </c:ext>
          </c:extLst>
        </c:ser>
        <c:ser>
          <c:idx val="3"/>
          <c:order val="3"/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(Berechnung!$J$32,Berechnung!$J$32,Berechnung!$J$32,Berechnung!$J$32,Berechnung!$J$32,Berechnung!$J$32,Berechnung!$J$32,Berechnung!$J$32,Berechnung!$J$32,Berechnung!$J$32,Berechnung!$J$32,Berechnung!$J$32,Berechnung!$J$32,Berechnung!$J$32,Berechnung!$J$32,Berechnung!$J$32,Berechnung!$J$32,Berechnung!$J$32,Berechnung!$J$32)</c:f>
              <c:numCache>
                <c:formatCode>General</c:formatCode>
                <c:ptCount val="19"/>
                <c:pt idx="0">
                  <c:v>-253.19633333333331</c:v>
                </c:pt>
                <c:pt idx="1">
                  <c:v>-253.19633333333331</c:v>
                </c:pt>
                <c:pt idx="2">
                  <c:v>-253.19633333333331</c:v>
                </c:pt>
                <c:pt idx="3">
                  <c:v>-253.19633333333331</c:v>
                </c:pt>
                <c:pt idx="4">
                  <c:v>-253.19633333333331</c:v>
                </c:pt>
                <c:pt idx="5">
                  <c:v>-253.19633333333331</c:v>
                </c:pt>
                <c:pt idx="6">
                  <c:v>-253.19633333333331</c:v>
                </c:pt>
                <c:pt idx="7">
                  <c:v>-253.19633333333331</c:v>
                </c:pt>
                <c:pt idx="8">
                  <c:v>-253.19633333333331</c:v>
                </c:pt>
                <c:pt idx="9">
                  <c:v>-253.19633333333331</c:v>
                </c:pt>
                <c:pt idx="10">
                  <c:v>-253.19633333333331</c:v>
                </c:pt>
                <c:pt idx="11">
                  <c:v>-253.19633333333331</c:v>
                </c:pt>
                <c:pt idx="12">
                  <c:v>-253.19633333333331</c:v>
                </c:pt>
                <c:pt idx="13">
                  <c:v>-253.19633333333331</c:v>
                </c:pt>
                <c:pt idx="14">
                  <c:v>-253.19633333333331</c:v>
                </c:pt>
                <c:pt idx="15">
                  <c:v>-253.19633333333331</c:v>
                </c:pt>
                <c:pt idx="16">
                  <c:v>-253.19633333333331</c:v>
                </c:pt>
                <c:pt idx="17">
                  <c:v>-253.19633333333331</c:v>
                </c:pt>
                <c:pt idx="18">
                  <c:v>-253.19633333333331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EA-42B0-AA65-BB1D3DF783C6}"/>
            </c:ext>
          </c:extLst>
        </c:ser>
        <c:ser>
          <c:idx val="4"/>
          <c:order val="4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4EA-42B0-AA65-BB1D3DF78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590592"/>
        <c:axId val="743595840"/>
      </c:lineChart>
      <c:catAx>
        <c:axId val="743590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Datenpunkt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3595840"/>
        <c:crosses val="autoZero"/>
        <c:auto val="1"/>
        <c:lblAlgn val="ctr"/>
        <c:lblOffset val="100"/>
        <c:noMultiLvlLbl val="0"/>
      </c:catAx>
      <c:valAx>
        <c:axId val="74359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Abweichung zum Steigungsmedian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35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100"/>
              <a:t>Empirischer</a:t>
            </a:r>
            <a:r>
              <a:rPr lang="de-DE" sz="1100" baseline="0"/>
              <a:t> Krümmungstest</a:t>
            </a:r>
            <a:endParaRPr lang="de-DE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Berechnung!$B$88:$B$107</c:f>
              <c:numCache>
                <c:formatCode>General</c:formatCode>
                <c:ptCount val="20"/>
                <c:pt idx="0">
                  <c:v>0.01</c:v>
                </c:pt>
                <c:pt idx="1">
                  <c:v>0.02</c:v>
                </c:pt>
                <c:pt idx="2">
                  <c:v>0.05</c:v>
                </c:pt>
                <c:pt idx="3">
                  <c:v>0.1</c:v>
                </c:pt>
                <c:pt idx="4">
                  <c:v>0.2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10</c:v>
                </c:pt>
                <c:pt idx="10">
                  <c:v>20</c:v>
                </c:pt>
                <c:pt idx="11">
                  <c:v>50</c:v>
                </c:pt>
                <c:pt idx="12">
                  <c:v>100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xVal>
          <c:yVal>
            <c:numRef>
              <c:f>Berechnung!$D$88:$D$107</c:f>
              <c:numCache>
                <c:formatCode>General</c:formatCode>
                <c:ptCount val="20"/>
                <c:pt idx="0">
                  <c:v>2417</c:v>
                </c:pt>
                <c:pt idx="1">
                  <c:v>2564</c:v>
                </c:pt>
                <c:pt idx="2">
                  <c:v>2530.1999999999998</c:v>
                </c:pt>
                <c:pt idx="3">
                  <c:v>2507.1</c:v>
                </c:pt>
                <c:pt idx="4">
                  <c:v>2561.4999999999995</c:v>
                </c:pt>
                <c:pt idx="5">
                  <c:v>2559.08</c:v>
                </c:pt>
                <c:pt idx="6">
                  <c:v>2513.75</c:v>
                </c:pt>
                <c:pt idx="7">
                  <c:v>2539.1950000000002</c:v>
                </c:pt>
                <c:pt idx="8">
                  <c:v>2549.4340000000002</c:v>
                </c:pt>
                <c:pt idx="9">
                  <c:v>2472.4139999999998</c:v>
                </c:pt>
                <c:pt idx="10">
                  <c:v>2649.9234999999999</c:v>
                </c:pt>
                <c:pt idx="11">
                  <c:v>2420.7952</c:v>
                </c:pt>
                <c:pt idx="12">
                  <c:v>2288.3838000000001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59-4184-B42D-C26D00C5798A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(Berechnung!$B$108,Berechnung!$B$109)</c:f>
              <c:numCache>
                <c:formatCode>General</c:formatCode>
                <c:ptCount val="2"/>
                <c:pt idx="0">
                  <c:v>0.01</c:v>
                </c:pt>
                <c:pt idx="1">
                  <c:v>100</c:v>
                </c:pt>
              </c:numCache>
            </c:numRef>
          </c:xVal>
          <c:yVal>
            <c:numRef>
              <c:f>(Berechnung!$B$111,Berechnung!$B$111)</c:f>
              <c:numCache>
                <c:formatCode>General</c:formatCode>
                <c:ptCount val="2"/>
                <c:pt idx="0">
                  <c:v>2338.0391434775947</c:v>
                </c:pt>
                <c:pt idx="1">
                  <c:v>2338.0391434775947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F59-4184-B42D-C26D00C5798A}"/>
            </c:ext>
          </c:extLst>
        </c:ser>
        <c:ser>
          <c:idx val="2"/>
          <c:order val="2"/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(Berechnung!$B$108,Berechnung!$B$109)</c:f>
              <c:numCache>
                <c:formatCode>General</c:formatCode>
                <c:ptCount val="2"/>
                <c:pt idx="0">
                  <c:v>0.01</c:v>
                </c:pt>
                <c:pt idx="1">
                  <c:v>100</c:v>
                </c:pt>
              </c:numCache>
            </c:numRef>
          </c:xVal>
          <c:yVal>
            <c:numRef>
              <c:f>(Berechnung!$B$112,Berechnung!$B$112)</c:f>
              <c:numCache>
                <c:formatCode>General</c:formatCode>
                <c:ptCount val="2"/>
                <c:pt idx="0">
                  <c:v>2857.6033975837267</c:v>
                </c:pt>
                <c:pt idx="1">
                  <c:v>2857.6033975837267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F59-4184-B42D-C26D00C5798A}"/>
            </c:ext>
          </c:extLst>
        </c:ser>
        <c:ser>
          <c:idx val="3"/>
          <c:order val="3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(Berechnung!$B$108,Berechnung!$B$109)</c:f>
              <c:numCache>
                <c:formatCode>General</c:formatCode>
                <c:ptCount val="2"/>
                <c:pt idx="0">
                  <c:v>0.01</c:v>
                </c:pt>
                <c:pt idx="1">
                  <c:v>100</c:v>
                </c:pt>
              </c:numCache>
            </c:numRef>
          </c:xVal>
          <c:yVal>
            <c:numRef>
              <c:f>(Berechnung!$B$77,Berechnung!$B$77)</c:f>
              <c:numCache>
                <c:formatCode>General</c:formatCode>
                <c:ptCount val="2"/>
                <c:pt idx="0">
                  <c:v>2597.8212705306605</c:v>
                </c:pt>
                <c:pt idx="1">
                  <c:v>2597.8212705306605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F59-4184-B42D-C26D00C57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9474112"/>
        <c:axId val="749477392"/>
      </c:scatterChart>
      <c:valAx>
        <c:axId val="74947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9477392"/>
        <c:crosses val="autoZero"/>
        <c:crossBetween val="midCat"/>
      </c:valAx>
      <c:valAx>
        <c:axId val="74947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Responsivität y/x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9474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100"/>
              <a:t>Empirischer Krümmungstest mit log. Achse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Berechnung!$E$88:$E$100</c:f>
              <c:numCache>
                <c:formatCode>General</c:formatCode>
                <c:ptCount val="13"/>
                <c:pt idx="0">
                  <c:v>-2</c:v>
                </c:pt>
                <c:pt idx="1">
                  <c:v>-1.6989700043360187</c:v>
                </c:pt>
                <c:pt idx="2">
                  <c:v>-1.3010299956639813</c:v>
                </c:pt>
                <c:pt idx="3">
                  <c:v>-1</c:v>
                </c:pt>
                <c:pt idx="4">
                  <c:v>-0.69897000433601875</c:v>
                </c:pt>
                <c:pt idx="5">
                  <c:v>-0.3010299956639812</c:v>
                </c:pt>
                <c:pt idx="6">
                  <c:v>0</c:v>
                </c:pt>
                <c:pt idx="7">
                  <c:v>0.3010299956639812</c:v>
                </c:pt>
                <c:pt idx="8">
                  <c:v>0.69897000433601886</c:v>
                </c:pt>
                <c:pt idx="9">
                  <c:v>1</c:v>
                </c:pt>
                <c:pt idx="10">
                  <c:v>1.3010299956639813</c:v>
                </c:pt>
                <c:pt idx="11">
                  <c:v>1.6989700043360187</c:v>
                </c:pt>
                <c:pt idx="12">
                  <c:v>2</c:v>
                </c:pt>
              </c:numCache>
            </c:numRef>
          </c:xVal>
          <c:yVal>
            <c:numRef>
              <c:f>Berechnung!$D$88:$D$100</c:f>
              <c:numCache>
                <c:formatCode>General</c:formatCode>
                <c:ptCount val="13"/>
                <c:pt idx="0">
                  <c:v>2417</c:v>
                </c:pt>
                <c:pt idx="1">
                  <c:v>2564</c:v>
                </c:pt>
                <c:pt idx="2">
                  <c:v>2530.1999999999998</c:v>
                </c:pt>
                <c:pt idx="3">
                  <c:v>2507.1</c:v>
                </c:pt>
                <c:pt idx="4">
                  <c:v>2561.4999999999995</c:v>
                </c:pt>
                <c:pt idx="5">
                  <c:v>2559.08</c:v>
                </c:pt>
                <c:pt idx="6">
                  <c:v>2513.75</c:v>
                </c:pt>
                <c:pt idx="7">
                  <c:v>2539.1950000000002</c:v>
                </c:pt>
                <c:pt idx="8">
                  <c:v>2549.4340000000002</c:v>
                </c:pt>
                <c:pt idx="9">
                  <c:v>2472.4139999999998</c:v>
                </c:pt>
                <c:pt idx="10">
                  <c:v>2649.9234999999999</c:v>
                </c:pt>
                <c:pt idx="11">
                  <c:v>2420.7952</c:v>
                </c:pt>
                <c:pt idx="12">
                  <c:v>2288.3838000000001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59-4184-B42D-C26D00C5798A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(Berechnung!$E$108,Berechnung!$E$109)</c:f>
              <c:numCache>
                <c:formatCode>General</c:formatCode>
                <c:ptCount val="2"/>
                <c:pt idx="0">
                  <c:v>-2</c:v>
                </c:pt>
                <c:pt idx="1">
                  <c:v>2</c:v>
                </c:pt>
              </c:numCache>
            </c:numRef>
          </c:xVal>
          <c:yVal>
            <c:numRef>
              <c:f>(Berechnung!$B$111,Berechnung!$B$111)</c:f>
              <c:numCache>
                <c:formatCode>General</c:formatCode>
                <c:ptCount val="2"/>
                <c:pt idx="0">
                  <c:v>2338.0391434775947</c:v>
                </c:pt>
                <c:pt idx="1">
                  <c:v>2338.0391434775947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0D-4F7F-91E4-69FF0FE80EC1}"/>
            </c:ext>
          </c:extLst>
        </c:ser>
        <c:ser>
          <c:idx val="2"/>
          <c:order val="2"/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(Berechnung!$E$108,Berechnung!$E$109)</c:f>
              <c:numCache>
                <c:formatCode>General</c:formatCode>
                <c:ptCount val="2"/>
                <c:pt idx="0">
                  <c:v>-2</c:v>
                </c:pt>
                <c:pt idx="1">
                  <c:v>2</c:v>
                </c:pt>
              </c:numCache>
            </c:numRef>
          </c:xVal>
          <c:yVal>
            <c:numRef>
              <c:f>(Berechnung!$B$112,Berechnung!$B$112)</c:f>
              <c:numCache>
                <c:formatCode>General</c:formatCode>
                <c:ptCount val="2"/>
                <c:pt idx="0">
                  <c:v>2857.6033975837267</c:v>
                </c:pt>
                <c:pt idx="1">
                  <c:v>2857.6033975837267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0D-4F7F-91E4-69FF0FE80EC1}"/>
            </c:ext>
          </c:extLst>
        </c:ser>
        <c:ser>
          <c:idx val="3"/>
          <c:order val="3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(Berechnung!$E$108,Berechnung!$E$109)</c:f>
              <c:numCache>
                <c:formatCode>General</c:formatCode>
                <c:ptCount val="2"/>
                <c:pt idx="0">
                  <c:v>-2</c:v>
                </c:pt>
                <c:pt idx="1">
                  <c:v>2</c:v>
                </c:pt>
              </c:numCache>
            </c:numRef>
          </c:xVal>
          <c:yVal>
            <c:numRef>
              <c:f>(Berechnung!$B$77,Berechnung!$B$77)</c:f>
              <c:numCache>
                <c:formatCode>General</c:formatCode>
                <c:ptCount val="2"/>
                <c:pt idx="0">
                  <c:v>2597.8212705306605</c:v>
                </c:pt>
                <c:pt idx="1">
                  <c:v>2597.8212705306605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F0D-4F7F-91E4-69FF0FE80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9474112"/>
        <c:axId val="749477392"/>
      </c:scatterChart>
      <c:valAx>
        <c:axId val="74947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lg</a:t>
                </a:r>
                <a:r>
                  <a:rPr lang="de-DE" baseline="0"/>
                  <a:t> x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9477392"/>
        <c:crosses val="autoZero"/>
        <c:crossBetween val="midCat"/>
      </c:valAx>
      <c:valAx>
        <c:axId val="74947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Responsivität</a:t>
                </a:r>
                <a:r>
                  <a:rPr lang="de-DE" baseline="0"/>
                  <a:t> y/x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9474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100"/>
              <a:t>Empirischer</a:t>
            </a:r>
            <a:r>
              <a:rPr lang="de-DE" sz="1100" baseline="0"/>
              <a:t> Krümmungstest mit Offset-korrigerter Responsivität</a:t>
            </a:r>
            <a:endParaRPr lang="de-DE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Berechnung!$B$118:$B$137</c:f>
              <c:numCache>
                <c:formatCode>General</c:formatCode>
                <c:ptCount val="20"/>
                <c:pt idx="0">
                  <c:v>0.01</c:v>
                </c:pt>
                <c:pt idx="1">
                  <c:v>0.02</c:v>
                </c:pt>
                <c:pt idx="2">
                  <c:v>0.05</c:v>
                </c:pt>
                <c:pt idx="3">
                  <c:v>0.1</c:v>
                </c:pt>
                <c:pt idx="4">
                  <c:v>0.2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10</c:v>
                </c:pt>
                <c:pt idx="10">
                  <c:v>20</c:v>
                </c:pt>
                <c:pt idx="11">
                  <c:v>50</c:v>
                </c:pt>
                <c:pt idx="12">
                  <c:v>100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xVal>
          <c:yVal>
            <c:numRef>
              <c:f>Berechnung!$D$118:$D$137</c:f>
              <c:numCache>
                <c:formatCode>General</c:formatCode>
                <c:ptCount val="20"/>
                <c:pt idx="0">
                  <c:v>1797.7583784713645</c:v>
                </c:pt>
                <c:pt idx="1">
                  <c:v>2254.3791892356821</c:v>
                </c:pt>
                <c:pt idx="2">
                  <c:v>2406.3516756942727</c:v>
                </c:pt>
                <c:pt idx="3">
                  <c:v>2445.1758378471363</c:v>
                </c:pt>
                <c:pt idx="4">
                  <c:v>2530.5379189235678</c:v>
                </c:pt>
                <c:pt idx="5">
                  <c:v>2546.6951675694272</c:v>
                </c:pt>
                <c:pt idx="6">
                  <c:v>2507.5575837847136</c:v>
                </c:pt>
                <c:pt idx="7">
                  <c:v>2536.098791892357</c:v>
                </c:pt>
                <c:pt idx="8">
                  <c:v>2548.1955167569427</c:v>
                </c:pt>
                <c:pt idx="9">
                  <c:v>2471.7947583784712</c:v>
                </c:pt>
                <c:pt idx="10">
                  <c:v>2649.6138791892358</c:v>
                </c:pt>
                <c:pt idx="11">
                  <c:v>2420.671351675694</c:v>
                </c:pt>
                <c:pt idx="12">
                  <c:v>2288.3218758378471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59-4184-B42D-C26D00C5798A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(Berechnung!$B$108,Berechnung!$B$109)</c:f>
              <c:numCache>
                <c:formatCode>General</c:formatCode>
                <c:ptCount val="2"/>
                <c:pt idx="0">
                  <c:v>0.01</c:v>
                </c:pt>
                <c:pt idx="1">
                  <c:v>100</c:v>
                </c:pt>
              </c:numCache>
            </c:numRef>
          </c:xVal>
          <c:yVal>
            <c:numRef>
              <c:f>(Berechnung!$B$111,Berechnung!$B$111)</c:f>
              <c:numCache>
                <c:formatCode>General</c:formatCode>
                <c:ptCount val="2"/>
                <c:pt idx="0">
                  <c:v>2338.0391434775947</c:v>
                </c:pt>
                <c:pt idx="1">
                  <c:v>2338.0391434775947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F59-4184-B42D-C26D00C5798A}"/>
            </c:ext>
          </c:extLst>
        </c:ser>
        <c:ser>
          <c:idx val="2"/>
          <c:order val="2"/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(Berechnung!$B$108,Berechnung!$B$109)</c:f>
              <c:numCache>
                <c:formatCode>General</c:formatCode>
                <c:ptCount val="2"/>
                <c:pt idx="0">
                  <c:v>0.01</c:v>
                </c:pt>
                <c:pt idx="1">
                  <c:v>100</c:v>
                </c:pt>
              </c:numCache>
            </c:numRef>
          </c:xVal>
          <c:yVal>
            <c:numRef>
              <c:f>(Berechnung!$B$112,Berechnung!$B$112)</c:f>
              <c:numCache>
                <c:formatCode>General</c:formatCode>
                <c:ptCount val="2"/>
                <c:pt idx="0">
                  <c:v>2857.6033975837267</c:v>
                </c:pt>
                <c:pt idx="1">
                  <c:v>2857.6033975837267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F59-4184-B42D-C26D00C5798A}"/>
            </c:ext>
          </c:extLst>
        </c:ser>
        <c:ser>
          <c:idx val="3"/>
          <c:order val="3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(Berechnung!$B$108,Berechnung!$B$109)</c:f>
              <c:numCache>
                <c:formatCode>General</c:formatCode>
                <c:ptCount val="2"/>
                <c:pt idx="0">
                  <c:v>0.01</c:v>
                </c:pt>
                <c:pt idx="1">
                  <c:v>100</c:v>
                </c:pt>
              </c:numCache>
            </c:numRef>
          </c:xVal>
          <c:yVal>
            <c:numRef>
              <c:f>(Berechnung!$B$77,Berechnung!$B$77)</c:f>
              <c:numCache>
                <c:formatCode>General</c:formatCode>
                <c:ptCount val="2"/>
                <c:pt idx="0">
                  <c:v>2597.8212705306605</c:v>
                </c:pt>
                <c:pt idx="1">
                  <c:v>2597.8212705306605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F2-401A-BE8D-205113F9C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9474112"/>
        <c:axId val="749477392"/>
      </c:scatterChart>
      <c:valAx>
        <c:axId val="74947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9477392"/>
        <c:crosses val="autoZero"/>
        <c:crossBetween val="midCat"/>
      </c:valAx>
      <c:valAx>
        <c:axId val="74947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Offset-korrigierte</a:t>
                </a:r>
                <a:r>
                  <a:rPr lang="de-DE" baseline="0"/>
                  <a:t> </a:t>
                </a:r>
                <a:r>
                  <a:rPr lang="de-DE"/>
                  <a:t>Responsivität (y-a)/x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107314814814814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9474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100"/>
              <a:t>Empirischer</a:t>
            </a:r>
            <a:r>
              <a:rPr lang="de-DE" sz="1100" baseline="0"/>
              <a:t> Krümmungstest unter Verwendung des Medians der Responsivitäten</a:t>
            </a:r>
            <a:endParaRPr lang="de-DE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Berechnung!$B$88:$B$107</c:f>
              <c:numCache>
                <c:formatCode>General</c:formatCode>
                <c:ptCount val="20"/>
                <c:pt idx="0">
                  <c:v>0.01</c:v>
                </c:pt>
                <c:pt idx="1">
                  <c:v>0.02</c:v>
                </c:pt>
                <c:pt idx="2">
                  <c:v>0.05</c:v>
                </c:pt>
                <c:pt idx="3">
                  <c:v>0.1</c:v>
                </c:pt>
                <c:pt idx="4">
                  <c:v>0.2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10</c:v>
                </c:pt>
                <c:pt idx="10">
                  <c:v>20</c:v>
                </c:pt>
                <c:pt idx="11">
                  <c:v>50</c:v>
                </c:pt>
                <c:pt idx="12">
                  <c:v>100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xVal>
          <c:yVal>
            <c:numRef>
              <c:f>Berechnung!$D$88:$D$107</c:f>
              <c:numCache>
                <c:formatCode>General</c:formatCode>
                <c:ptCount val="20"/>
                <c:pt idx="0">
                  <c:v>2417</c:v>
                </c:pt>
                <c:pt idx="1">
                  <c:v>2564</c:v>
                </c:pt>
                <c:pt idx="2">
                  <c:v>2530.1999999999998</c:v>
                </c:pt>
                <c:pt idx="3">
                  <c:v>2507.1</c:v>
                </c:pt>
                <c:pt idx="4">
                  <c:v>2561.4999999999995</c:v>
                </c:pt>
                <c:pt idx="5">
                  <c:v>2559.08</c:v>
                </c:pt>
                <c:pt idx="6">
                  <c:v>2513.75</c:v>
                </c:pt>
                <c:pt idx="7">
                  <c:v>2539.1950000000002</c:v>
                </c:pt>
                <c:pt idx="8">
                  <c:v>2549.4340000000002</c:v>
                </c:pt>
                <c:pt idx="9">
                  <c:v>2472.4139999999998</c:v>
                </c:pt>
                <c:pt idx="10">
                  <c:v>2649.9234999999999</c:v>
                </c:pt>
                <c:pt idx="11">
                  <c:v>2420.7952</c:v>
                </c:pt>
                <c:pt idx="12">
                  <c:v>2288.3838000000001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59-4184-B42D-C26D00C5798A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(Berechnung!$B$108,Berechnung!$B$109)</c:f>
              <c:numCache>
                <c:formatCode>General</c:formatCode>
                <c:ptCount val="2"/>
                <c:pt idx="0">
                  <c:v>0.01</c:v>
                </c:pt>
                <c:pt idx="1">
                  <c:v>100</c:v>
                </c:pt>
              </c:numCache>
            </c:numRef>
          </c:xVal>
          <c:yVal>
            <c:numRef>
              <c:f>(Berechnung!$B$141,Berechnung!$B$141)</c:f>
              <c:numCache>
                <c:formatCode>General</c:formatCode>
                <c:ptCount val="2"/>
                <c:pt idx="0">
                  <c:v>2277.1799999999998</c:v>
                </c:pt>
                <c:pt idx="1">
                  <c:v>2277.1799999999998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F59-4184-B42D-C26D00C5798A}"/>
            </c:ext>
          </c:extLst>
        </c:ser>
        <c:ser>
          <c:idx val="2"/>
          <c:order val="2"/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(Berechnung!$B$108,Berechnung!$B$109)</c:f>
              <c:numCache>
                <c:formatCode>General</c:formatCode>
                <c:ptCount val="2"/>
                <c:pt idx="0">
                  <c:v>0.01</c:v>
                </c:pt>
                <c:pt idx="1">
                  <c:v>100</c:v>
                </c:pt>
              </c:numCache>
            </c:numRef>
          </c:xVal>
          <c:yVal>
            <c:numRef>
              <c:f>(Berechnung!$B$142,Berechnung!$B$142)</c:f>
              <c:numCache>
                <c:formatCode>General</c:formatCode>
                <c:ptCount val="2"/>
                <c:pt idx="0">
                  <c:v>2783.22</c:v>
                </c:pt>
                <c:pt idx="1">
                  <c:v>2783.22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F59-4184-B42D-C26D00C5798A}"/>
            </c:ext>
          </c:extLst>
        </c:ser>
        <c:ser>
          <c:idx val="3"/>
          <c:order val="3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(Berechnung!$B$108,Berechnung!$B$109)</c:f>
              <c:numCache>
                <c:formatCode>General</c:formatCode>
                <c:ptCount val="2"/>
                <c:pt idx="0">
                  <c:v>0.01</c:v>
                </c:pt>
                <c:pt idx="1">
                  <c:v>100</c:v>
                </c:pt>
              </c:numCache>
            </c:numRef>
          </c:xVal>
          <c:yVal>
            <c:numRef>
              <c:f>(Berechnung!$B$140,Berechnung!$B$140)</c:f>
              <c:numCache>
                <c:formatCode>General</c:formatCode>
                <c:ptCount val="2"/>
                <c:pt idx="0">
                  <c:v>2530.1999999999998</c:v>
                </c:pt>
                <c:pt idx="1">
                  <c:v>2530.1999999999998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F59-4184-B42D-C26D00C57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9474112"/>
        <c:axId val="749477392"/>
      </c:scatterChart>
      <c:valAx>
        <c:axId val="74947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9477392"/>
        <c:crosses val="autoZero"/>
        <c:crossBetween val="midCat"/>
      </c:valAx>
      <c:valAx>
        <c:axId val="74947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Responsivität y/x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9474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695325</xdr:colOff>
      <xdr:row>14</xdr:row>
      <xdr:rowOff>200025</xdr:rowOff>
    </xdr:from>
    <xdr:to>
      <xdr:col>10</xdr:col>
      <xdr:colOff>701325</xdr:colOff>
      <xdr:row>25</xdr:row>
      <xdr:rowOff>138450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695325</xdr:colOff>
      <xdr:row>26</xdr:row>
      <xdr:rowOff>0</xdr:rowOff>
    </xdr:from>
    <xdr:to>
      <xdr:col>10</xdr:col>
      <xdr:colOff>701325</xdr:colOff>
      <xdr:row>38</xdr:row>
      <xdr:rowOff>109875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214312</xdr:colOff>
      <xdr:row>46</xdr:row>
      <xdr:rowOff>9525</xdr:rowOff>
    </xdr:from>
    <xdr:ext cx="1268681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976312" y="10067925"/>
              <a:ext cx="1268681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latin typeface="Cambria Math" panose="02040503050406030204" pitchFamily="18" charset="0"/>
                      </a:rPr>
                      <m:t>𝑦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de-DE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sSup>
                      <m:sSupPr>
                        <m:ctrlPr>
                          <a:rPr lang="de-DE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p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de-DE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de-DE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de-DE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de-DE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e>
                      <m:sub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5" name="Textfeld 4"/>
            <xdr:cNvSpPr txBox="1"/>
          </xdr:nvSpPr>
          <xdr:spPr>
            <a:xfrm>
              <a:off x="976312" y="10067925"/>
              <a:ext cx="1268681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100" b="0" i="0">
                  <a:latin typeface="Cambria Math" panose="02040503050406030204" pitchFamily="18" charset="0"/>
                </a:rPr>
                <a:t>𝑦=𝑐_2 𝑥^2+𝑏_2 𝑥+𝑎_2</a:t>
              </a:r>
              <a:endParaRPr lang="de-DE" sz="1100"/>
            </a:p>
          </xdr:txBody>
        </xdr:sp>
      </mc:Fallback>
    </mc:AlternateContent>
    <xdr:clientData/>
  </xdr:oneCellAnchor>
  <xdr:oneCellAnchor>
    <xdr:from>
      <xdr:col>8</xdr:col>
      <xdr:colOff>542925</xdr:colOff>
      <xdr:row>47</xdr:row>
      <xdr:rowOff>76200</xdr:rowOff>
    </xdr:from>
    <xdr:ext cx="1132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6829425" y="10820400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de-DE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6" name="Textfeld 5"/>
            <xdr:cNvSpPr txBox="1"/>
          </xdr:nvSpPr>
          <xdr:spPr>
            <a:xfrm>
              <a:off x="6829425" y="10820400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100" b="0" i="0">
                  <a:latin typeface="Cambria Math" panose="02040503050406030204" pitchFamily="18" charset="0"/>
                </a:rPr>
                <a:t>𝑦 ̂</a:t>
              </a:r>
              <a:endParaRPr lang="de-DE" sz="1100"/>
            </a:p>
          </xdr:txBody>
        </xdr:sp>
      </mc:Fallback>
    </mc:AlternateContent>
    <xdr:clientData/>
  </xdr:oneCellAnchor>
  <xdr:oneCellAnchor>
    <xdr:from>
      <xdr:col>9</xdr:col>
      <xdr:colOff>190500</xdr:colOff>
      <xdr:row>46</xdr:row>
      <xdr:rowOff>85725</xdr:rowOff>
    </xdr:from>
    <xdr:ext cx="545213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Textfeld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 txBox="1"/>
          </xdr:nvSpPr>
          <xdr:spPr>
            <a:xfrm>
              <a:off x="7239000" y="10639425"/>
              <a:ext cx="545213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de-DE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de-DE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de-DE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acc>
                              <m:accPr>
                                <m:chr m:val="̂"/>
                                <m:ctrlPr>
                                  <a:rPr lang="de-DE" sz="1100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de-DE" sz="1100" b="0" i="1">
                                    <a:latin typeface="Cambria Math" panose="02040503050406030204" pitchFamily="18" charset="0"/>
                                  </a:rPr>
                                  <m:t>𝑦</m:t>
                                </m:r>
                              </m:e>
                            </m:acc>
                          </m:e>
                        </m:d>
                      </m:e>
                      <m:sup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45" name="Textfeld 44"/>
            <xdr:cNvSpPr txBox="1"/>
          </xdr:nvSpPr>
          <xdr:spPr>
            <a:xfrm>
              <a:off x="7239000" y="10639425"/>
              <a:ext cx="545213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100" i="0">
                  <a:latin typeface="Cambria Math" panose="02040503050406030204" pitchFamily="18" charset="0"/>
                </a:rPr>
                <a:t>(</a:t>
              </a:r>
              <a:r>
                <a:rPr lang="de-DE" sz="1100" b="0" i="0">
                  <a:latin typeface="Cambria Math" panose="02040503050406030204" pitchFamily="18" charset="0"/>
                </a:rPr>
                <a:t>𝑦−𝑦 ̂ )^2</a:t>
              </a:r>
              <a:endParaRPr lang="de-DE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80</xdr:row>
      <xdr:rowOff>104775</xdr:rowOff>
    </xdr:from>
    <xdr:ext cx="504882" cy="1673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Textfeld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 txBox="1"/>
          </xdr:nvSpPr>
          <xdr:spPr>
            <a:xfrm>
              <a:off x="0" y="12230100"/>
              <a:ext cx="504882" cy="1673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0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0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sSub>
                          <m:sSubPr>
                            <m:ctrlPr>
                              <a:rPr lang="de-DE" sz="1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000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</m:e>
                          <m:sub>
                            <m:r>
                              <a:rPr lang="de-DE" sz="10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de-DE" sz="1000" b="0" i="1">
                            <a:latin typeface="Cambria Math" panose="02040503050406030204" pitchFamily="18" charset="0"/>
                          </a:rPr>
                          <m:t>;</m:t>
                        </m:r>
                        <m:sSub>
                          <m:sSubPr>
                            <m:ctrlPr>
                              <a:rPr lang="de-DE" sz="1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000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</m:e>
                          <m:sub>
                            <m:r>
                              <a:rPr lang="de-DE" sz="10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de-DE" sz="1000" b="0" i="1">
                            <a:latin typeface="Cambria Math" panose="02040503050406030204" pitchFamily="18" charset="0"/>
                          </a:rPr>
                          <m:t>;99%</m:t>
                        </m:r>
                      </m:sub>
                    </m:sSub>
                  </m:oMath>
                </m:oMathPara>
              </a14:m>
              <a:endParaRPr lang="de-DE" sz="1000"/>
            </a:p>
          </xdr:txBody>
        </xdr:sp>
      </mc:Choice>
      <mc:Fallback xmlns="">
        <xdr:sp macro="" textlink="">
          <xdr:nvSpPr>
            <xdr:cNvPr id="46" name="Textfeld 45"/>
            <xdr:cNvSpPr txBox="1"/>
          </xdr:nvSpPr>
          <xdr:spPr>
            <a:xfrm>
              <a:off x="0" y="12230100"/>
              <a:ext cx="504882" cy="1673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000" b="0" i="0">
                  <a:latin typeface="Cambria Math" panose="02040503050406030204" pitchFamily="18" charset="0"/>
                </a:rPr>
                <a:t>𝐹_(𝑓_1;𝑓_2;99%)</a:t>
              </a:r>
              <a:endParaRPr lang="de-DE" sz="1000"/>
            </a:p>
          </xdr:txBody>
        </xdr:sp>
      </mc:Fallback>
    </mc:AlternateContent>
    <xdr:clientData/>
  </xdr:oneCellAnchor>
  <xdr:oneCellAnchor>
    <xdr:from>
      <xdr:col>0</xdr:col>
      <xdr:colOff>500062</xdr:colOff>
      <xdr:row>39</xdr:row>
      <xdr:rowOff>161925</xdr:rowOff>
    </xdr:from>
    <xdr:ext cx="81894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Textfeld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 txBox="1"/>
          </xdr:nvSpPr>
          <xdr:spPr>
            <a:xfrm>
              <a:off x="500062" y="6448425"/>
              <a:ext cx="81894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100" b="0" i="1">
                        <a:latin typeface="Cambria Math" panose="02040503050406030204" pitchFamily="18" charset="0"/>
                      </a:rPr>
                      <m:t>𝑦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de-DE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de-DE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de-DE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de-DE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e>
                      <m:sub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47" name="Textfeld 46"/>
            <xdr:cNvSpPr txBox="1"/>
          </xdr:nvSpPr>
          <xdr:spPr>
            <a:xfrm>
              <a:off x="500062" y="6448425"/>
              <a:ext cx="81894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100" b="0" i="0">
                  <a:latin typeface="Cambria Math" panose="02040503050406030204" pitchFamily="18" charset="0"/>
                </a:rPr>
                <a:t>𝑦=𝑏_1 𝑥+𝑎_1</a:t>
              </a:r>
              <a:endParaRPr lang="de-DE" sz="1100"/>
            </a:p>
          </xdr:txBody>
        </xdr:sp>
      </mc:Fallback>
    </mc:AlternateContent>
    <xdr:clientData/>
  </xdr:oneCellAnchor>
  <xdr:twoCellAnchor>
    <xdr:from>
      <xdr:col>5</xdr:col>
      <xdr:colOff>280988</xdr:colOff>
      <xdr:row>83</xdr:row>
      <xdr:rowOff>52388</xdr:rowOff>
    </xdr:from>
    <xdr:to>
      <xdr:col>10</xdr:col>
      <xdr:colOff>738187</xdr:colOff>
      <xdr:row>97</xdr:row>
      <xdr:rowOff>128588</xdr:rowOff>
    </xdr:to>
    <xdr:graphicFrame macro="">
      <xdr:nvGraphicFramePr>
        <xdr:cNvPr id="51" name="Diagramm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285749</xdr:colOff>
      <xdr:row>97</xdr:row>
      <xdr:rowOff>185736</xdr:rowOff>
    </xdr:from>
    <xdr:to>
      <xdr:col>10</xdr:col>
      <xdr:colOff>741749</xdr:colOff>
      <xdr:row>111</xdr:row>
      <xdr:rowOff>226218</xdr:rowOff>
    </xdr:to>
    <xdr:graphicFrame macro="">
      <xdr:nvGraphicFramePr>
        <xdr:cNvPr id="52" name="Diagramm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285749</xdr:colOff>
      <xdr:row>116</xdr:row>
      <xdr:rowOff>57150</xdr:rowOff>
    </xdr:from>
    <xdr:to>
      <xdr:col>10</xdr:col>
      <xdr:colOff>741749</xdr:colOff>
      <xdr:row>130</xdr:row>
      <xdr:rowOff>133350</xdr:rowOff>
    </xdr:to>
    <xdr:graphicFrame macro="">
      <xdr:nvGraphicFramePr>
        <xdr:cNvPr id="53" name="Diagramm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285749</xdr:colOff>
      <xdr:row>139</xdr:row>
      <xdr:rowOff>133350</xdr:rowOff>
    </xdr:from>
    <xdr:to>
      <xdr:col>10</xdr:col>
      <xdr:colOff>741749</xdr:colOff>
      <xdr:row>153</xdr:row>
      <xdr:rowOff>138112</xdr:rowOff>
    </xdr:to>
    <xdr:graphicFrame macro="">
      <xdr:nvGraphicFramePr>
        <xdr:cNvPr id="54" name="Diagramm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47626</xdr:colOff>
      <xdr:row>2</xdr:row>
      <xdr:rowOff>11906</xdr:rowOff>
    </xdr:from>
    <xdr:to>
      <xdr:col>10</xdr:col>
      <xdr:colOff>738188</xdr:colOff>
      <xdr:row>13</xdr:row>
      <xdr:rowOff>28575</xdr:rowOff>
    </xdr:to>
    <xdr:sp macro="" textlink="">
      <xdr:nvSpPr>
        <xdr:cNvPr id="55" name="Textfeld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5229226" y="211931"/>
          <a:ext cx="2976562" cy="16359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/>
            <a:t>Dieses Excel-Programm soll den</a:t>
          </a:r>
          <a:r>
            <a:rPr lang="de-DE" sz="1000" baseline="0"/>
            <a:t> Anwender der </a:t>
          </a:r>
          <a:br>
            <a:rPr lang="de-DE" sz="1000" baseline="0"/>
          </a:br>
          <a:r>
            <a:rPr lang="de-D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DIN 38 402 - 51 (2017) </a:t>
          </a:r>
          <a:r>
            <a:rPr lang="de-DE" sz="1000"/>
            <a:t>bei der Prüfung auf Linearität unterstützen.</a:t>
          </a:r>
        </a:p>
        <a:p>
          <a:r>
            <a:rPr lang="de-DE" sz="1000"/>
            <a:t>Nähere Hinweise zu den Verfahren finden sich in der genannten Norm.</a:t>
          </a:r>
        </a:p>
        <a:p>
          <a:r>
            <a:rPr lang="de-DE" sz="1000"/>
            <a:t>Für den Ausdruck dieser</a:t>
          </a:r>
          <a:r>
            <a:rPr lang="de-DE" sz="1000" baseline="0"/>
            <a:t> Berechnungsblätter wird Querformat empfohlen.</a:t>
          </a:r>
        </a:p>
        <a:p>
          <a:r>
            <a:rPr lang="de-DE" sz="1000" baseline="0"/>
            <a:t>Zur Sicherstellung der universellen Verwendbarkeit werden Rechenergebnisse in diesem Blatt nicht gerundet.</a:t>
          </a:r>
          <a:endParaRPr lang="de-DE" sz="1000"/>
        </a:p>
      </xdr:txBody>
    </xdr:sp>
    <xdr:clientData/>
  </xdr:twoCellAnchor>
  <xdr:twoCellAnchor>
    <xdr:from>
      <xdr:col>3</xdr:col>
      <xdr:colOff>714374</xdr:colOff>
      <xdr:row>154</xdr:row>
      <xdr:rowOff>23812</xdr:rowOff>
    </xdr:from>
    <xdr:to>
      <xdr:col>10</xdr:col>
      <xdr:colOff>607218</xdr:colOff>
      <xdr:row>163</xdr:row>
      <xdr:rowOff>142874</xdr:rowOff>
    </xdr:to>
    <xdr:sp macro="" textlink="">
      <xdr:nvSpPr>
        <xdr:cNvPr id="56" name="Textfeld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738437" y="26193750"/>
          <a:ext cx="5334000" cy="18335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Copyright © 2020</a:t>
          </a:r>
        </a:p>
        <a:p>
          <a:r>
            <a:rPr lang="de-DE" sz="1100"/>
            <a:t>Autoren: Karl-Heinz Bauer und Michael Koch für den DIN NA 119-01-03-06-AK5.</a:t>
          </a:r>
        </a:p>
        <a:p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Verwendung dieses EXCEL-Sheets ist  frei. </a:t>
          </a:r>
          <a:r>
            <a:rPr lang="de-DE"/>
            <a:t> </a:t>
          </a:r>
        </a:p>
        <a:p>
          <a:r>
            <a:rPr lang="de-DE" sz="1100"/>
            <a:t>Sie können es unter den Bedingungen der GNU General Public License, wie von der Free Software Foundation veröffentlicht, weitergeben und/oder modifizieren.</a:t>
          </a:r>
        </a:p>
        <a:p>
          <a:r>
            <a:rPr lang="de-DE" sz="1100"/>
            <a:t>Dieses Programm wird in der Hoffnung verteilt, dass es nützlich sein wird, aber OHNE JEGLICHE GARANTIE; sogar ohne die implizite Garantie der MARKTGÄNGIGKEIT oder der EIGNUNG FÜR EINEN BESTIMMTEN ZWECK.  </a:t>
          </a:r>
        </a:p>
        <a:p>
          <a:r>
            <a:rPr lang="de-DE" sz="1100"/>
            <a:t>Siehe die GNU General Public License (https://www.gnu.org/licenses/) für weitere Einzelheiten.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4"/>
  <sheetViews>
    <sheetView tabSelected="1" topLeftCell="A149" zoomScaleNormal="100" workbookViewId="0">
      <selection activeCell="L12" sqref="L12"/>
    </sheetView>
  </sheetViews>
  <sheetFormatPr baseColWidth="10" defaultRowHeight="15" x14ac:dyDescent="0.25"/>
  <cols>
    <col min="1" max="1" width="9.5703125" customWidth="1"/>
    <col min="2" max="3" width="10.42578125" customWidth="1"/>
    <col min="5" max="5" width="13" customWidth="1"/>
  </cols>
  <sheetData>
    <row r="1" spans="1:11" ht="15.75" x14ac:dyDescent="0.25">
      <c r="A1" s="3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3" t="s">
        <v>86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4" t="s">
        <v>0</v>
      </c>
      <c r="B3" s="5"/>
      <c r="C3" s="5"/>
      <c r="D3" s="5"/>
      <c r="E3" s="5"/>
      <c r="F3" s="5"/>
      <c r="G3" s="6" t="s">
        <v>87</v>
      </c>
      <c r="H3" s="5"/>
      <c r="I3" s="5"/>
      <c r="J3" s="5"/>
      <c r="K3" s="5"/>
    </row>
    <row r="4" spans="1:11" ht="11.25" customHeight="1" x14ac:dyDescent="0.25">
      <c r="A4" s="4"/>
      <c r="B4" s="33" t="s">
        <v>1</v>
      </c>
      <c r="C4" s="33"/>
      <c r="D4" s="33"/>
      <c r="E4" s="32" t="s">
        <v>8</v>
      </c>
      <c r="F4" s="32"/>
      <c r="G4" s="32"/>
      <c r="H4" s="4"/>
      <c r="I4" s="4"/>
      <c r="J4" s="4"/>
      <c r="K4" s="5"/>
    </row>
    <row r="5" spans="1:11" ht="11.25" customHeight="1" x14ac:dyDescent="0.25">
      <c r="A5" s="4"/>
      <c r="B5" s="33" t="s">
        <v>2</v>
      </c>
      <c r="C5" s="33"/>
      <c r="D5" s="33"/>
      <c r="E5" s="32" t="s">
        <v>82</v>
      </c>
      <c r="F5" s="32"/>
      <c r="G5" s="32"/>
      <c r="H5" s="4"/>
      <c r="I5" s="4"/>
      <c r="J5" s="4"/>
      <c r="K5" s="5"/>
    </row>
    <row r="6" spans="1:11" ht="11.25" customHeight="1" x14ac:dyDescent="0.25">
      <c r="A6" s="4"/>
      <c r="B6" s="33" t="s">
        <v>3</v>
      </c>
      <c r="C6" s="33"/>
      <c r="D6" s="33"/>
      <c r="E6" s="32" t="s">
        <v>9</v>
      </c>
      <c r="F6" s="32"/>
      <c r="G6" s="32"/>
      <c r="H6" s="4"/>
      <c r="I6" s="4"/>
      <c r="J6" s="4"/>
      <c r="K6" s="5"/>
    </row>
    <row r="7" spans="1:11" ht="11.25" customHeight="1" x14ac:dyDescent="0.25">
      <c r="A7" s="4"/>
      <c r="B7" s="33" t="s">
        <v>4</v>
      </c>
      <c r="C7" s="33"/>
      <c r="D7" s="33"/>
      <c r="E7" s="32" t="s">
        <v>10</v>
      </c>
      <c r="F7" s="32"/>
      <c r="G7" s="32"/>
      <c r="H7" s="4"/>
      <c r="I7" s="4"/>
      <c r="J7" s="4"/>
      <c r="K7" s="5"/>
    </row>
    <row r="8" spans="1:11" ht="11.25" customHeight="1" x14ac:dyDescent="0.25">
      <c r="A8" s="4"/>
      <c r="B8" s="33" t="s">
        <v>83</v>
      </c>
      <c r="C8" s="33"/>
      <c r="D8" s="33"/>
      <c r="E8" s="34">
        <v>0.1</v>
      </c>
      <c r="F8" s="34"/>
      <c r="G8" s="34"/>
      <c r="H8" s="4"/>
      <c r="I8" s="4"/>
      <c r="J8" s="4"/>
      <c r="K8" s="5"/>
    </row>
    <row r="9" spans="1:11" ht="11.25" customHeight="1" x14ac:dyDescent="0.25">
      <c r="A9" s="4"/>
      <c r="B9" s="30" t="s">
        <v>84</v>
      </c>
      <c r="C9" s="30"/>
      <c r="D9" s="30"/>
      <c r="E9" s="31">
        <v>0.1</v>
      </c>
      <c r="F9" s="31"/>
      <c r="G9" s="31"/>
      <c r="H9" s="4"/>
      <c r="I9" s="4"/>
      <c r="J9" s="4"/>
      <c r="K9" s="5"/>
    </row>
    <row r="10" spans="1:11" ht="11.25" customHeight="1" x14ac:dyDescent="0.25">
      <c r="A10" s="4"/>
      <c r="B10" s="33" t="s">
        <v>5</v>
      </c>
      <c r="C10" s="33"/>
      <c r="D10" s="33"/>
      <c r="E10" s="32"/>
      <c r="F10" s="32"/>
      <c r="G10" s="32"/>
      <c r="H10" s="4"/>
      <c r="I10" s="4"/>
      <c r="J10" s="4"/>
      <c r="K10" s="5"/>
    </row>
    <row r="11" spans="1:11" ht="11.25" customHeight="1" x14ac:dyDescent="0.25">
      <c r="A11" s="4"/>
      <c r="B11" s="33" t="s">
        <v>6</v>
      </c>
      <c r="C11" s="33"/>
      <c r="D11" s="33"/>
      <c r="E11" s="32"/>
      <c r="F11" s="32"/>
      <c r="G11" s="32"/>
      <c r="H11" s="4"/>
      <c r="I11" s="4"/>
      <c r="J11" s="4"/>
      <c r="K11" s="5"/>
    </row>
    <row r="12" spans="1:11" ht="11.25" customHeight="1" x14ac:dyDescent="0.25">
      <c r="A12" s="4"/>
      <c r="B12" s="33" t="s">
        <v>7</v>
      </c>
      <c r="C12" s="33"/>
      <c r="D12" s="33"/>
      <c r="E12" s="32"/>
      <c r="F12" s="32"/>
      <c r="G12" s="32"/>
      <c r="H12" s="4"/>
      <c r="I12" s="4"/>
      <c r="J12" s="4"/>
      <c r="K12" s="5"/>
    </row>
    <row r="13" spans="1:11" ht="11.25" customHeight="1" x14ac:dyDescent="0.25">
      <c r="A13" s="4"/>
      <c r="B13" s="33" t="s">
        <v>6</v>
      </c>
      <c r="C13" s="33"/>
      <c r="D13" s="33"/>
      <c r="E13" s="32"/>
      <c r="F13" s="32"/>
      <c r="G13" s="32"/>
      <c r="H13" s="4"/>
      <c r="I13" s="4"/>
      <c r="J13" s="4"/>
      <c r="K13" s="5"/>
    </row>
    <row r="14" spans="1:11" ht="15.75" thickBo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5"/>
    </row>
    <row r="15" spans="1:11" ht="39.75" thickBot="1" x14ac:dyDescent="0.3">
      <c r="A15" s="10" t="s">
        <v>11</v>
      </c>
      <c r="B15" s="10" t="s">
        <v>12</v>
      </c>
      <c r="C15" s="11" t="s">
        <v>13</v>
      </c>
      <c r="D15" s="12" t="s">
        <v>22</v>
      </c>
      <c r="E15" s="13" t="s">
        <v>14</v>
      </c>
      <c r="F15" s="4"/>
      <c r="G15" s="14" t="s">
        <v>19</v>
      </c>
      <c r="H15" s="4"/>
      <c r="I15" s="4"/>
      <c r="J15" s="4"/>
      <c r="K15" s="5"/>
    </row>
    <row r="16" spans="1:11" ht="11.25" customHeight="1" x14ac:dyDescent="0.25">
      <c r="A16" s="15">
        <v>1</v>
      </c>
      <c r="B16" s="24">
        <v>0.01</v>
      </c>
      <c r="C16" s="25">
        <v>24.17</v>
      </c>
      <c r="D16" s="16">
        <f>IF(B17&lt;&gt;"",(C17-C16)/(B17-B16),"")</f>
        <v>2711</v>
      </c>
      <c r="E16" s="17">
        <f>IF(D16&lt;&gt;"",D16-$D$36,#N/A)</f>
        <v>179.03666666666686</v>
      </c>
      <c r="F16" s="4"/>
      <c r="G16" s="2" t="str">
        <f>CONCATENATE(E4," mit ",E5)</f>
        <v>Blei mit ICP-OES</v>
      </c>
      <c r="H16" s="4"/>
      <c r="I16" s="4"/>
      <c r="J16" s="4"/>
      <c r="K16" s="5"/>
    </row>
    <row r="17" spans="1:11" ht="11.25" customHeight="1" x14ac:dyDescent="0.25">
      <c r="A17" s="15">
        <v>2</v>
      </c>
      <c r="B17" s="26">
        <v>0.02</v>
      </c>
      <c r="C17" s="27">
        <v>51.28</v>
      </c>
      <c r="D17" s="18">
        <f t="shared" ref="D17:D34" si="0">IF(B18&lt;&gt;"",(C18-C17)/(B18-B17),"")</f>
        <v>2507.6666666666665</v>
      </c>
      <c r="E17" s="19">
        <f t="shared" ref="E17:E34" si="1">IF(D17&lt;&gt;"",D17-$D$36,#N/A)</f>
        <v>-24.296666666666624</v>
      </c>
      <c r="F17" s="4"/>
      <c r="G17" s="4" t="s">
        <v>17</v>
      </c>
      <c r="H17" s="4"/>
      <c r="I17" s="4"/>
      <c r="J17" s="4"/>
      <c r="K17" s="5"/>
    </row>
    <row r="18" spans="1:11" ht="11.25" customHeight="1" x14ac:dyDescent="0.25">
      <c r="A18" s="15">
        <v>3</v>
      </c>
      <c r="B18" s="26">
        <v>0.05</v>
      </c>
      <c r="C18" s="27">
        <v>126.51</v>
      </c>
      <c r="D18" s="18">
        <f t="shared" si="0"/>
        <v>2484</v>
      </c>
      <c r="E18" s="19">
        <f t="shared" si="1"/>
        <v>-47.963333333333139</v>
      </c>
      <c r="F18" s="4"/>
      <c r="G18" s="4" t="str">
        <f>CONCATENATE(G17," ",E7)</f>
        <v>Anzeige in counts</v>
      </c>
      <c r="H18" s="4"/>
      <c r="I18" s="4"/>
      <c r="J18" s="4"/>
      <c r="K18" s="5"/>
    </row>
    <row r="19" spans="1:11" ht="11.25" customHeight="1" x14ac:dyDescent="0.25">
      <c r="A19" s="15">
        <v>4</v>
      </c>
      <c r="B19" s="26">
        <v>0.1</v>
      </c>
      <c r="C19" s="27">
        <v>250.71</v>
      </c>
      <c r="D19" s="18">
        <f t="shared" si="0"/>
        <v>2615.8999999999992</v>
      </c>
      <c r="E19" s="19">
        <f t="shared" si="1"/>
        <v>83.936666666666042</v>
      </c>
      <c r="F19" s="4"/>
      <c r="G19" s="4" t="s">
        <v>18</v>
      </c>
      <c r="H19" s="4"/>
      <c r="I19" s="4"/>
      <c r="J19" s="4"/>
      <c r="K19" s="5"/>
    </row>
    <row r="20" spans="1:11" ht="11.25" customHeight="1" x14ac:dyDescent="0.25">
      <c r="A20" s="15">
        <v>5</v>
      </c>
      <c r="B20" s="26">
        <v>0.2</v>
      </c>
      <c r="C20" s="27">
        <v>512.29999999999995</v>
      </c>
      <c r="D20" s="18">
        <f t="shared" si="0"/>
        <v>2557.4666666666667</v>
      </c>
      <c r="E20" s="19">
        <f t="shared" si="1"/>
        <v>25.503333333333558</v>
      </c>
      <c r="F20" s="4"/>
      <c r="G20" s="4" t="str">
        <f>CONCATENATE(G19," ",E6)</f>
        <v>Gehalt in mg/l</v>
      </c>
      <c r="H20" s="4"/>
      <c r="I20" s="4"/>
      <c r="J20" s="4"/>
      <c r="K20" s="5"/>
    </row>
    <row r="21" spans="1:11" ht="11.25" customHeight="1" x14ac:dyDescent="0.25">
      <c r="A21" s="15">
        <v>6</v>
      </c>
      <c r="B21" s="26">
        <v>0.5</v>
      </c>
      <c r="C21" s="27">
        <v>1279.54</v>
      </c>
      <c r="D21" s="18">
        <f t="shared" si="0"/>
        <v>2468.42</v>
      </c>
      <c r="E21" s="19">
        <f t="shared" si="1"/>
        <v>-63.543333333333067</v>
      </c>
      <c r="F21" s="4"/>
      <c r="G21" s="4"/>
      <c r="H21" s="4"/>
      <c r="I21" s="4"/>
      <c r="J21" s="4"/>
      <c r="K21" s="5"/>
    </row>
    <row r="22" spans="1:11" ht="11.25" customHeight="1" x14ac:dyDescent="0.25">
      <c r="A22" s="15">
        <v>7</v>
      </c>
      <c r="B22" s="26">
        <v>1</v>
      </c>
      <c r="C22" s="27">
        <v>2513.75</v>
      </c>
      <c r="D22" s="18">
        <f t="shared" si="0"/>
        <v>2564.6400000000003</v>
      </c>
      <c r="E22" s="19">
        <f t="shared" si="1"/>
        <v>32.676666666667188</v>
      </c>
      <c r="F22" s="4"/>
      <c r="G22" s="4"/>
      <c r="H22" s="4"/>
      <c r="I22" s="4"/>
      <c r="J22" s="4"/>
      <c r="K22" s="5"/>
    </row>
    <row r="23" spans="1:11" ht="11.25" customHeight="1" x14ac:dyDescent="0.25">
      <c r="A23" s="15">
        <v>8</v>
      </c>
      <c r="B23" s="26">
        <v>2</v>
      </c>
      <c r="C23" s="27">
        <v>5078.3900000000003</v>
      </c>
      <c r="D23" s="18">
        <f t="shared" si="0"/>
        <v>2556.2599999999998</v>
      </c>
      <c r="E23" s="19">
        <f t="shared" si="1"/>
        <v>24.296666666666624</v>
      </c>
      <c r="F23" s="4"/>
      <c r="G23" s="4"/>
      <c r="H23" s="4"/>
      <c r="I23" s="4"/>
      <c r="J23" s="4"/>
      <c r="K23" s="5"/>
    </row>
    <row r="24" spans="1:11" ht="11.25" customHeight="1" x14ac:dyDescent="0.25">
      <c r="A24" s="15">
        <v>9</v>
      </c>
      <c r="B24" s="26">
        <v>5</v>
      </c>
      <c r="C24" s="27">
        <v>12747.17</v>
      </c>
      <c r="D24" s="18">
        <f t="shared" si="0"/>
        <v>2395.3939999999998</v>
      </c>
      <c r="E24" s="19">
        <f t="shared" si="1"/>
        <v>-136.56933333333336</v>
      </c>
      <c r="F24" s="4"/>
      <c r="G24" s="4"/>
      <c r="H24" s="4"/>
      <c r="I24" s="4"/>
      <c r="J24" s="4"/>
      <c r="K24" s="5"/>
    </row>
    <row r="25" spans="1:11" ht="11.25" customHeight="1" x14ac:dyDescent="0.25">
      <c r="A25" s="15">
        <v>10</v>
      </c>
      <c r="B25" s="26">
        <v>10</v>
      </c>
      <c r="C25" s="27">
        <v>24724.14</v>
      </c>
      <c r="D25" s="18">
        <f t="shared" si="0"/>
        <v>2827.433</v>
      </c>
      <c r="E25" s="19">
        <f t="shared" si="1"/>
        <v>295.46966666666685</v>
      </c>
      <c r="F25" s="4"/>
      <c r="G25" s="4"/>
      <c r="H25" s="4"/>
      <c r="I25" s="4"/>
      <c r="J25" s="4"/>
      <c r="K25" s="5"/>
    </row>
    <row r="26" spans="1:11" ht="11.25" customHeight="1" x14ac:dyDescent="0.25">
      <c r="A26" s="15">
        <v>11</v>
      </c>
      <c r="B26" s="26">
        <v>20</v>
      </c>
      <c r="C26" s="27">
        <v>52998.47</v>
      </c>
      <c r="D26" s="18">
        <f t="shared" si="0"/>
        <v>2268.0429999999997</v>
      </c>
      <c r="E26" s="19">
        <f t="shared" si="1"/>
        <v>-263.92033333333347</v>
      </c>
      <c r="F26" s="4"/>
      <c r="G26" s="4"/>
      <c r="H26" s="4"/>
      <c r="I26" s="4"/>
      <c r="J26" s="4"/>
      <c r="K26" s="5"/>
    </row>
    <row r="27" spans="1:11" ht="11.25" customHeight="1" x14ac:dyDescent="0.25">
      <c r="A27" s="15">
        <v>12</v>
      </c>
      <c r="B27" s="26">
        <v>50</v>
      </c>
      <c r="C27" s="27">
        <v>121039.76</v>
      </c>
      <c r="D27" s="18">
        <f t="shared" si="0"/>
        <v>2155.9724000000001</v>
      </c>
      <c r="E27" s="19">
        <f t="shared" si="1"/>
        <v>-375.99093333333303</v>
      </c>
      <c r="F27" s="4"/>
      <c r="G27" s="4"/>
      <c r="H27" s="4"/>
      <c r="I27" s="4"/>
      <c r="J27" s="4"/>
      <c r="K27" s="5"/>
    </row>
    <row r="28" spans="1:11" ht="11.25" customHeight="1" x14ac:dyDescent="0.25">
      <c r="A28" s="15">
        <v>13</v>
      </c>
      <c r="B28" s="26">
        <v>100</v>
      </c>
      <c r="C28" s="27">
        <v>228838.38</v>
      </c>
      <c r="D28" s="18" t="str">
        <f t="shared" si="0"/>
        <v/>
      </c>
      <c r="E28" s="19" t="e">
        <f t="shared" si="1"/>
        <v>#N/A</v>
      </c>
      <c r="F28" s="4"/>
      <c r="G28" s="4"/>
      <c r="H28" s="4"/>
      <c r="I28" s="4"/>
      <c r="J28" s="4"/>
      <c r="K28" s="5"/>
    </row>
    <row r="29" spans="1:11" ht="11.25" customHeight="1" x14ac:dyDescent="0.25">
      <c r="A29" s="15">
        <v>14</v>
      </c>
      <c r="B29" s="26"/>
      <c r="C29" s="27"/>
      <c r="D29" s="18" t="str">
        <f t="shared" si="0"/>
        <v/>
      </c>
      <c r="E29" s="19" t="e">
        <f t="shared" si="1"/>
        <v>#N/A</v>
      </c>
      <c r="F29" s="4"/>
      <c r="G29" s="4"/>
      <c r="H29" s="4"/>
      <c r="I29" s="4"/>
      <c r="J29" s="4"/>
      <c r="K29" s="5"/>
    </row>
    <row r="30" spans="1:11" ht="11.25" customHeight="1" x14ac:dyDescent="0.25">
      <c r="A30" s="15">
        <v>15</v>
      </c>
      <c r="B30" s="26"/>
      <c r="C30" s="27"/>
      <c r="D30" s="18" t="str">
        <f t="shared" si="0"/>
        <v/>
      </c>
      <c r="E30" s="19" t="e">
        <f t="shared" si="1"/>
        <v>#N/A</v>
      </c>
      <c r="F30" s="4"/>
      <c r="G30" s="4"/>
      <c r="H30" s="4"/>
      <c r="I30" s="4"/>
      <c r="J30" s="4"/>
      <c r="K30" s="5"/>
    </row>
    <row r="31" spans="1:11" ht="11.25" customHeight="1" x14ac:dyDescent="0.25">
      <c r="A31" s="15">
        <v>16</v>
      </c>
      <c r="B31" s="26"/>
      <c r="C31" s="27"/>
      <c r="D31" s="18" t="str">
        <f t="shared" si="0"/>
        <v/>
      </c>
      <c r="E31" s="19" t="e">
        <f t="shared" si="1"/>
        <v>#N/A</v>
      </c>
      <c r="F31" s="4"/>
      <c r="G31" s="4"/>
      <c r="H31" s="4"/>
      <c r="I31" s="4"/>
      <c r="J31" s="4"/>
      <c r="K31" s="5"/>
    </row>
    <row r="32" spans="1:11" ht="11.25" customHeight="1" x14ac:dyDescent="0.25">
      <c r="A32" s="15">
        <v>17</v>
      </c>
      <c r="B32" s="26"/>
      <c r="C32" s="27"/>
      <c r="D32" s="18" t="str">
        <f t="shared" si="0"/>
        <v/>
      </c>
      <c r="E32" s="19" t="e">
        <f t="shared" si="1"/>
        <v>#N/A</v>
      </c>
      <c r="F32" s="4"/>
      <c r="G32" s="4" t="s">
        <v>21</v>
      </c>
      <c r="H32" s="4"/>
      <c r="I32" s="4"/>
      <c r="J32" s="4">
        <f>-D37</f>
        <v>-253.19633333333331</v>
      </c>
      <c r="K32" s="5"/>
    </row>
    <row r="33" spans="1:11" ht="11.25" customHeight="1" x14ac:dyDescent="0.25">
      <c r="A33" s="15">
        <v>18</v>
      </c>
      <c r="B33" s="26"/>
      <c r="C33" s="27"/>
      <c r="D33" s="18" t="str">
        <f t="shared" si="0"/>
        <v/>
      </c>
      <c r="E33" s="19" t="e">
        <f t="shared" si="1"/>
        <v>#N/A</v>
      </c>
      <c r="F33" s="4"/>
      <c r="G33" s="4"/>
      <c r="H33" s="4"/>
      <c r="I33" s="4"/>
      <c r="J33" s="4"/>
      <c r="K33" s="5"/>
    </row>
    <row r="34" spans="1:11" ht="11.25" customHeight="1" x14ac:dyDescent="0.25">
      <c r="A34" s="15">
        <v>19</v>
      </c>
      <c r="B34" s="26"/>
      <c r="C34" s="27"/>
      <c r="D34" s="18" t="str">
        <f t="shared" si="0"/>
        <v/>
      </c>
      <c r="E34" s="19" t="e">
        <f t="shared" si="1"/>
        <v>#N/A</v>
      </c>
      <c r="F34" s="4"/>
      <c r="G34" s="4"/>
      <c r="H34" s="4"/>
      <c r="I34" s="4"/>
      <c r="J34" s="4"/>
      <c r="K34" s="5"/>
    </row>
    <row r="35" spans="1:11" ht="11.25" customHeight="1" thickBot="1" x14ac:dyDescent="0.3">
      <c r="A35" s="20">
        <v>20</v>
      </c>
      <c r="B35" s="28"/>
      <c r="C35" s="29"/>
      <c r="D35" s="21" t="s">
        <v>15</v>
      </c>
      <c r="E35" s="22" t="s">
        <v>15</v>
      </c>
      <c r="F35" s="4"/>
      <c r="G35" s="4"/>
      <c r="H35" s="4"/>
      <c r="I35" s="4"/>
      <c r="J35" s="4"/>
      <c r="K35" s="5"/>
    </row>
    <row r="36" spans="1:11" ht="11.25" customHeight="1" x14ac:dyDescent="0.25">
      <c r="A36" s="4"/>
      <c r="B36" s="4"/>
      <c r="C36" s="6" t="s">
        <v>16</v>
      </c>
      <c r="D36" s="4">
        <f>MEDIAN(D16:D35)</f>
        <v>2531.9633333333331</v>
      </c>
      <c r="E36" s="4"/>
      <c r="F36" s="4"/>
      <c r="G36" s="4"/>
      <c r="H36" s="4"/>
      <c r="I36" s="4"/>
      <c r="J36" s="4"/>
      <c r="K36" s="5"/>
    </row>
    <row r="37" spans="1:11" ht="11.25" customHeight="1" x14ac:dyDescent="0.25">
      <c r="A37" s="4"/>
      <c r="B37" s="4"/>
      <c r="C37" s="6" t="s">
        <v>20</v>
      </c>
      <c r="D37" s="4">
        <f>E8*D36</f>
        <v>253.19633333333331</v>
      </c>
      <c r="E37" s="4"/>
      <c r="F37" s="4"/>
      <c r="G37" s="4"/>
      <c r="H37" s="4"/>
      <c r="I37" s="4"/>
      <c r="J37" s="4"/>
      <c r="K37" s="5"/>
    </row>
    <row r="38" spans="1:1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5"/>
    </row>
    <row r="39" spans="1:1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5"/>
    </row>
    <row r="40" spans="1:11" x14ac:dyDescent="0.25">
      <c r="A40" s="8" t="s">
        <v>46</v>
      </c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s="2" customFormat="1" ht="11.25" customHeight="1" x14ac:dyDescent="0.2">
      <c r="A41" s="4" t="s">
        <v>38</v>
      </c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s="2" customFormat="1" ht="11.25" customHeight="1" x14ac:dyDescent="0.25">
      <c r="A42" s="4" t="s">
        <v>59</v>
      </c>
      <c r="B42" s="4">
        <f>SLOPE(C16:C35,B16:B35)</f>
        <v>2311.8152786847818</v>
      </c>
      <c r="C42" s="4"/>
      <c r="D42" s="4"/>
      <c r="E42" s="4"/>
      <c r="F42" s="4"/>
      <c r="G42" s="4"/>
      <c r="H42" s="4"/>
      <c r="I42" s="4"/>
      <c r="J42" s="4"/>
      <c r="K42" s="4"/>
    </row>
    <row r="43" spans="1:11" s="2" customFormat="1" ht="11.25" customHeight="1" x14ac:dyDescent="0.25">
      <c r="A43" s="4" t="s">
        <v>60</v>
      </c>
      <c r="B43" s="4">
        <f>INTERCEPT(C16:C35,B16:B35)</f>
        <v>1040.6846278475787</v>
      </c>
      <c r="C43" s="4"/>
      <c r="D43" s="4"/>
      <c r="E43" s="4"/>
      <c r="F43" s="4"/>
      <c r="G43" s="4"/>
      <c r="H43" s="4"/>
      <c r="I43" s="4"/>
      <c r="J43" s="4"/>
      <c r="K43" s="4"/>
    </row>
    <row r="44" spans="1:11" s="2" customFormat="1" ht="11.25" customHeight="1" x14ac:dyDescent="0.2">
      <c r="A44" s="4" t="s">
        <v>41</v>
      </c>
      <c r="B44" s="4">
        <f>COUNT(B16:B35)</f>
        <v>13</v>
      </c>
      <c r="C44" s="4"/>
      <c r="D44" s="4"/>
      <c r="E44" s="4"/>
      <c r="F44" s="4"/>
      <c r="G44" s="4"/>
      <c r="H44" s="4"/>
      <c r="I44" s="4"/>
      <c r="J44" s="4"/>
      <c r="K44" s="4"/>
    </row>
    <row r="45" spans="1:11" s="2" customFormat="1" ht="11.25" customHeight="1" x14ac:dyDescent="0.25">
      <c r="A45" s="4" t="s">
        <v>61</v>
      </c>
      <c r="B45" s="4">
        <f>STEYX(C16:C35,B16:B35)</f>
        <v>2542.1197361225995</v>
      </c>
      <c r="C45" s="4"/>
      <c r="D45" s="4"/>
      <c r="E45" s="4"/>
      <c r="F45" s="4"/>
      <c r="G45" s="4"/>
      <c r="H45" s="4"/>
      <c r="I45" s="4"/>
      <c r="J45" s="4"/>
      <c r="K45" s="4"/>
    </row>
    <row r="46" spans="1:11" s="2" customFormat="1" ht="6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s="2" customFormat="1" ht="11.25" customHeight="1" x14ac:dyDescent="0.2">
      <c r="A47" s="4" t="s">
        <v>44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s="2" customFormat="1" ht="11.25" customHeight="1" x14ac:dyDescent="0.2">
      <c r="A48" s="6" t="s">
        <v>48</v>
      </c>
      <c r="B48" s="6" t="s">
        <v>39</v>
      </c>
      <c r="C48" s="6" t="s">
        <v>62</v>
      </c>
      <c r="D48" s="6" t="s">
        <v>63</v>
      </c>
      <c r="E48" s="6" t="s">
        <v>64</v>
      </c>
      <c r="F48" s="6" t="s">
        <v>40</v>
      </c>
      <c r="G48" s="6" t="s">
        <v>43</v>
      </c>
      <c r="H48" s="6" t="s">
        <v>65</v>
      </c>
      <c r="I48" s="4"/>
      <c r="J48" s="4"/>
      <c r="K48" s="4"/>
    </row>
    <row r="49" spans="1:11" s="2" customFormat="1" ht="11.25" customHeight="1" x14ac:dyDescent="0.2">
      <c r="A49" s="4">
        <v>1</v>
      </c>
      <c r="B49" s="4">
        <f t="shared" ref="B49:B68" si="2">IF(B16&lt;&gt;"",B16,"")</f>
        <v>0.01</v>
      </c>
      <c r="C49" s="4">
        <f>IF(B49&lt;&gt;"",B49^2,"")</f>
        <v>1E-4</v>
      </c>
      <c r="D49" s="4">
        <f>IF(B49&lt;&gt;"",B49^3,"")</f>
        <v>1.0000000000000002E-6</v>
      </c>
      <c r="E49" s="4">
        <f>IF(B49&lt;&gt;"",B49^4,"")</f>
        <v>1E-8</v>
      </c>
      <c r="F49" s="4">
        <f t="shared" ref="F49:F68" si="3">IF(B16&lt;&gt;"",C16,"")</f>
        <v>24.17</v>
      </c>
      <c r="G49" s="4">
        <f>IF(B49&lt;&gt;"",B49*F49,"")</f>
        <v>0.24170000000000003</v>
      </c>
      <c r="H49" s="4">
        <f>IF(B49&lt;&gt;"",B49^2*F49,"")</f>
        <v>2.4170000000000003E-3</v>
      </c>
      <c r="I49" s="4">
        <f>IF(B49&lt;&gt;"",$B$76*C49+$B$77*B49+$B$78,"")</f>
        <v>32.170317550911165</v>
      </c>
      <c r="J49" s="4">
        <f>IF(B49&lt;&gt;"",(F49-I49)^2,"")</f>
        <v>64.005080915417182</v>
      </c>
      <c r="K49" s="4"/>
    </row>
    <row r="50" spans="1:11" s="2" customFormat="1" ht="11.25" customHeight="1" x14ac:dyDescent="0.2">
      <c r="A50" s="4">
        <v>2</v>
      </c>
      <c r="B50" s="4">
        <f t="shared" si="2"/>
        <v>0.02</v>
      </c>
      <c r="C50" s="4">
        <f t="shared" ref="C50:C68" si="4">IF(B50&lt;&gt;"",B50^2,"")</f>
        <v>4.0000000000000002E-4</v>
      </c>
      <c r="D50" s="4">
        <f t="shared" ref="D50:D68" si="5">IF(B50&lt;&gt;"",B50^3,"")</f>
        <v>8.0000000000000013E-6</v>
      </c>
      <c r="E50" s="4">
        <f t="shared" ref="E50:E68" si="6">IF(B50&lt;&gt;"",B50^4,"")</f>
        <v>1.6E-7</v>
      </c>
      <c r="F50" s="4">
        <f t="shared" si="3"/>
        <v>51.28</v>
      </c>
      <c r="G50" s="4">
        <f t="shared" ref="G50:G68" si="7">IF(B50&lt;&gt;"",B50*F50,"")</f>
        <v>1.0256000000000001</v>
      </c>
      <c r="H50" s="4">
        <f t="shared" ref="H50:H68" si="8">IF(B50&lt;&gt;"",B50^2*F50,"")</f>
        <v>2.0512000000000002E-2</v>
      </c>
      <c r="I50" s="4">
        <f t="shared" ref="I50:I68" si="9">IF(B50&lt;&gt;"",$B$76*C50+$B$77*B50+$B$78,"")</f>
        <v>58.147596147172372</v>
      </c>
      <c r="J50" s="4">
        <f t="shared" ref="J50:J68" si="10">IF(B50&lt;&gt;"",(F50-I50)^2,"")</f>
        <v>47.163876840656798</v>
      </c>
      <c r="K50" s="4"/>
    </row>
    <row r="51" spans="1:11" s="2" customFormat="1" ht="11.25" customHeight="1" x14ac:dyDescent="0.2">
      <c r="A51" s="4">
        <v>3</v>
      </c>
      <c r="B51" s="4">
        <f t="shared" si="2"/>
        <v>0.05</v>
      </c>
      <c r="C51" s="4">
        <f t="shared" si="4"/>
        <v>2.5000000000000005E-3</v>
      </c>
      <c r="D51" s="4">
        <f t="shared" si="5"/>
        <v>1.2500000000000003E-4</v>
      </c>
      <c r="E51" s="4">
        <f t="shared" si="6"/>
        <v>6.2500000000000028E-6</v>
      </c>
      <c r="F51" s="4">
        <f t="shared" si="3"/>
        <v>126.51</v>
      </c>
      <c r="G51" s="4">
        <f t="shared" si="7"/>
        <v>6.3255000000000008</v>
      </c>
      <c r="H51" s="4">
        <f t="shared" si="8"/>
        <v>0.31627500000000008</v>
      </c>
      <c r="I51" s="4">
        <f t="shared" si="9"/>
        <v>136.07569549977438</v>
      </c>
      <c r="J51" s="4">
        <f t="shared" si="10"/>
        <v>91.502530394403792</v>
      </c>
      <c r="K51" s="4"/>
    </row>
    <row r="52" spans="1:11" s="2" customFormat="1" ht="11.25" customHeight="1" x14ac:dyDescent="0.2">
      <c r="A52" s="4">
        <v>4</v>
      </c>
      <c r="B52" s="4">
        <f t="shared" si="2"/>
        <v>0.1</v>
      </c>
      <c r="C52" s="4">
        <f t="shared" si="4"/>
        <v>1.0000000000000002E-2</v>
      </c>
      <c r="D52" s="4">
        <f t="shared" si="5"/>
        <v>1.0000000000000002E-3</v>
      </c>
      <c r="E52" s="4">
        <f t="shared" si="6"/>
        <v>1.0000000000000005E-4</v>
      </c>
      <c r="F52" s="4">
        <f t="shared" si="3"/>
        <v>250.71</v>
      </c>
      <c r="G52" s="4">
        <f t="shared" si="7"/>
        <v>25.071000000000002</v>
      </c>
      <c r="H52" s="4">
        <f t="shared" si="8"/>
        <v>2.5071000000000008</v>
      </c>
      <c r="I52" s="4">
        <f t="shared" si="9"/>
        <v>265.94340630017246</v>
      </c>
      <c r="J52" s="4">
        <f t="shared" si="10"/>
        <v>232.05666750613361</v>
      </c>
      <c r="K52" s="4"/>
    </row>
    <row r="53" spans="1:11" s="2" customFormat="1" ht="11.25" customHeight="1" x14ac:dyDescent="0.2">
      <c r="A53" s="4">
        <v>5</v>
      </c>
      <c r="B53" s="4">
        <f t="shared" si="2"/>
        <v>0.2</v>
      </c>
      <c r="C53" s="4">
        <f t="shared" si="4"/>
        <v>4.0000000000000008E-2</v>
      </c>
      <c r="D53" s="4">
        <f t="shared" si="5"/>
        <v>8.0000000000000019E-3</v>
      </c>
      <c r="E53" s="4">
        <f t="shared" si="6"/>
        <v>1.6000000000000007E-3</v>
      </c>
      <c r="F53" s="4">
        <f t="shared" si="3"/>
        <v>512.29999999999995</v>
      </c>
      <c r="G53" s="4">
        <f t="shared" si="7"/>
        <v>102.46</v>
      </c>
      <c r="H53" s="4">
        <f t="shared" si="8"/>
        <v>20.492000000000001</v>
      </c>
      <c r="I53" s="4">
        <f t="shared" si="9"/>
        <v>525.63212244869862</v>
      </c>
      <c r="J53" s="4">
        <f t="shared" si="10"/>
        <v>177.745488987095</v>
      </c>
      <c r="K53" s="4"/>
    </row>
    <row r="54" spans="1:11" s="2" customFormat="1" ht="11.25" customHeight="1" x14ac:dyDescent="0.2">
      <c r="A54" s="4">
        <v>6</v>
      </c>
      <c r="B54" s="4">
        <f t="shared" si="2"/>
        <v>0.5</v>
      </c>
      <c r="C54" s="4">
        <f t="shared" si="4"/>
        <v>0.25</v>
      </c>
      <c r="D54" s="4">
        <f t="shared" si="5"/>
        <v>0.125</v>
      </c>
      <c r="E54" s="4">
        <f t="shared" si="6"/>
        <v>6.25E-2</v>
      </c>
      <c r="F54" s="4">
        <f t="shared" si="3"/>
        <v>1279.54</v>
      </c>
      <c r="G54" s="4">
        <f t="shared" si="7"/>
        <v>639.77</v>
      </c>
      <c r="H54" s="4">
        <f t="shared" si="8"/>
        <v>319.88499999999999</v>
      </c>
      <c r="I54" s="4">
        <f t="shared" si="9"/>
        <v>1304.3246272761176</v>
      </c>
      <c r="J54" s="4">
        <f t="shared" si="10"/>
        <v>614.27774921607204</v>
      </c>
      <c r="K54" s="4"/>
    </row>
    <row r="55" spans="1:11" s="2" customFormat="1" ht="11.25" customHeight="1" x14ac:dyDescent="0.2">
      <c r="A55" s="4">
        <v>7</v>
      </c>
      <c r="B55" s="4">
        <f t="shared" si="2"/>
        <v>1</v>
      </c>
      <c r="C55" s="4">
        <f t="shared" si="4"/>
        <v>1</v>
      </c>
      <c r="D55" s="4">
        <f t="shared" si="5"/>
        <v>1</v>
      </c>
      <c r="E55" s="4">
        <f t="shared" si="6"/>
        <v>1</v>
      </c>
      <c r="F55" s="4">
        <f t="shared" si="3"/>
        <v>2513.75</v>
      </c>
      <c r="G55" s="4">
        <f t="shared" si="7"/>
        <v>2513.75</v>
      </c>
      <c r="H55" s="4">
        <f t="shared" si="8"/>
        <v>2513.75</v>
      </c>
      <c r="I55" s="4">
        <f t="shared" si="9"/>
        <v>2600.8999899279502</v>
      </c>
      <c r="J55" s="4">
        <f t="shared" si="10"/>
        <v>7595.1207444418169</v>
      </c>
      <c r="K55" s="4"/>
    </row>
    <row r="56" spans="1:11" s="2" customFormat="1" ht="11.25" customHeight="1" x14ac:dyDescent="0.2">
      <c r="A56" s="4">
        <v>8</v>
      </c>
      <c r="B56" s="4">
        <f t="shared" si="2"/>
        <v>2</v>
      </c>
      <c r="C56" s="4">
        <f t="shared" si="4"/>
        <v>4</v>
      </c>
      <c r="D56" s="4">
        <f t="shared" si="5"/>
        <v>8</v>
      </c>
      <c r="E56" s="4">
        <f t="shared" si="6"/>
        <v>16</v>
      </c>
      <c r="F56" s="4">
        <f t="shared" si="3"/>
        <v>5078.3900000000003</v>
      </c>
      <c r="G56" s="4">
        <f t="shared" si="7"/>
        <v>10156.780000000001</v>
      </c>
      <c r="H56" s="4">
        <f t="shared" si="8"/>
        <v>20313.560000000001</v>
      </c>
      <c r="I56" s="4">
        <f t="shared" si="9"/>
        <v>5189.3801700046215</v>
      </c>
      <c r="J56" s="4">
        <f t="shared" si="10"/>
        <v>12318.817837654711</v>
      </c>
      <c r="K56" s="4"/>
    </row>
    <row r="57" spans="1:11" s="2" customFormat="1" ht="11.25" customHeight="1" x14ac:dyDescent="0.2">
      <c r="A57" s="4">
        <v>9</v>
      </c>
      <c r="B57" s="4">
        <f t="shared" si="2"/>
        <v>5</v>
      </c>
      <c r="C57" s="4">
        <f t="shared" si="4"/>
        <v>25</v>
      </c>
      <c r="D57" s="4">
        <f t="shared" si="5"/>
        <v>125</v>
      </c>
      <c r="E57" s="4">
        <f t="shared" si="6"/>
        <v>625</v>
      </c>
      <c r="F57" s="4">
        <f t="shared" si="3"/>
        <v>12747.17</v>
      </c>
      <c r="G57" s="4">
        <f t="shared" si="7"/>
        <v>63735.85</v>
      </c>
      <c r="H57" s="4">
        <f t="shared" si="8"/>
        <v>318679.25</v>
      </c>
      <c r="I57" s="4">
        <f t="shared" si="9"/>
        <v>12917.456348418678</v>
      </c>
      <c r="J57" s="4">
        <f t="shared" si="10"/>
        <v>28997.440457767483</v>
      </c>
      <c r="K57" s="4"/>
    </row>
    <row r="58" spans="1:11" s="2" customFormat="1" ht="11.25" customHeight="1" x14ac:dyDescent="0.2">
      <c r="A58" s="4">
        <v>10</v>
      </c>
      <c r="B58" s="4">
        <f t="shared" si="2"/>
        <v>10</v>
      </c>
      <c r="C58" s="4">
        <f t="shared" si="4"/>
        <v>100</v>
      </c>
      <c r="D58" s="4">
        <f t="shared" si="5"/>
        <v>1000</v>
      </c>
      <c r="E58" s="4">
        <f t="shared" si="6"/>
        <v>10000</v>
      </c>
      <c r="F58" s="4">
        <f t="shared" si="3"/>
        <v>24724.14</v>
      </c>
      <c r="G58" s="4">
        <f t="shared" si="7"/>
        <v>247241.4</v>
      </c>
      <c r="H58" s="4">
        <f t="shared" si="8"/>
        <v>2472414</v>
      </c>
      <c r="I58" s="4">
        <f t="shared" si="9"/>
        <v>25673.035439722247</v>
      </c>
      <c r="J58" s="4">
        <f t="shared" si="10"/>
        <v>900402.55552567809</v>
      </c>
      <c r="K58" s="4"/>
    </row>
    <row r="59" spans="1:11" s="2" customFormat="1" ht="11.25" customHeight="1" x14ac:dyDescent="0.2">
      <c r="A59" s="4">
        <v>11</v>
      </c>
      <c r="B59" s="4">
        <f t="shared" si="2"/>
        <v>20</v>
      </c>
      <c r="C59" s="4">
        <f t="shared" si="4"/>
        <v>400</v>
      </c>
      <c r="D59" s="4">
        <f t="shared" si="5"/>
        <v>8000</v>
      </c>
      <c r="E59" s="4">
        <f t="shared" si="6"/>
        <v>160000</v>
      </c>
      <c r="F59" s="4">
        <f t="shared" si="3"/>
        <v>52998.47</v>
      </c>
      <c r="G59" s="4">
        <f t="shared" si="7"/>
        <v>1059969.3999999999</v>
      </c>
      <c r="H59" s="4">
        <f t="shared" si="8"/>
        <v>21199388</v>
      </c>
      <c r="I59" s="4">
        <f t="shared" si="9"/>
        <v>50717.139099629909</v>
      </c>
      <c r="J59" s="4">
        <f t="shared" si="10"/>
        <v>5204470.676983417</v>
      </c>
      <c r="K59" s="4"/>
    </row>
    <row r="60" spans="1:11" s="2" customFormat="1" ht="11.25" customHeight="1" x14ac:dyDescent="0.2">
      <c r="A60" s="4">
        <v>12</v>
      </c>
      <c r="B60" s="4">
        <f t="shared" si="2"/>
        <v>50</v>
      </c>
      <c r="C60" s="4">
        <f t="shared" si="4"/>
        <v>2500</v>
      </c>
      <c r="D60" s="4">
        <f t="shared" si="5"/>
        <v>125000</v>
      </c>
      <c r="E60" s="4">
        <f t="shared" si="6"/>
        <v>6250000</v>
      </c>
      <c r="F60" s="4">
        <f t="shared" si="3"/>
        <v>121039.76</v>
      </c>
      <c r="G60" s="4">
        <f t="shared" si="7"/>
        <v>6051988</v>
      </c>
      <c r="H60" s="4">
        <f t="shared" si="8"/>
        <v>302599400</v>
      </c>
      <c r="I60" s="4">
        <f t="shared" si="9"/>
        <v>122113.01389775713</v>
      </c>
      <c r="J60" s="4">
        <f t="shared" si="10"/>
        <v>1151873.9290508903</v>
      </c>
      <c r="K60" s="4"/>
    </row>
    <row r="61" spans="1:11" s="2" customFormat="1" ht="11.25" customHeight="1" x14ac:dyDescent="0.2">
      <c r="A61" s="4">
        <v>13</v>
      </c>
      <c r="B61" s="4">
        <f t="shared" si="2"/>
        <v>100</v>
      </c>
      <c r="C61" s="4">
        <f t="shared" si="4"/>
        <v>10000</v>
      </c>
      <c r="D61" s="4">
        <f t="shared" si="5"/>
        <v>1000000</v>
      </c>
      <c r="E61" s="4">
        <f t="shared" si="6"/>
        <v>100000000</v>
      </c>
      <c r="F61" s="4">
        <f t="shared" si="3"/>
        <v>228838.38</v>
      </c>
      <c r="G61" s="4">
        <f t="shared" si="7"/>
        <v>22883838</v>
      </c>
      <c r="H61" s="4">
        <f t="shared" si="8"/>
        <v>2288383800</v>
      </c>
      <c r="I61" s="4">
        <f t="shared" si="9"/>
        <v>228651.35128931663</v>
      </c>
      <c r="J61" s="4">
        <f t="shared" si="10"/>
        <v>34979.738619884156</v>
      </c>
      <c r="K61" s="4"/>
    </row>
    <row r="62" spans="1:11" s="2" customFormat="1" ht="11.25" customHeight="1" x14ac:dyDescent="0.2">
      <c r="A62" s="4">
        <v>14</v>
      </c>
      <c r="B62" s="4" t="str">
        <f t="shared" si="2"/>
        <v/>
      </c>
      <c r="C62" s="4" t="str">
        <f t="shared" si="4"/>
        <v/>
      </c>
      <c r="D62" s="4" t="str">
        <f t="shared" si="5"/>
        <v/>
      </c>
      <c r="E62" s="4" t="str">
        <f t="shared" si="6"/>
        <v/>
      </c>
      <c r="F62" s="4" t="str">
        <f t="shared" si="3"/>
        <v/>
      </c>
      <c r="G62" s="4" t="str">
        <f t="shared" si="7"/>
        <v/>
      </c>
      <c r="H62" s="4" t="str">
        <f t="shared" si="8"/>
        <v/>
      </c>
      <c r="I62" s="4" t="str">
        <f t="shared" si="9"/>
        <v/>
      </c>
      <c r="J62" s="4" t="str">
        <f t="shared" si="10"/>
        <v/>
      </c>
      <c r="K62" s="4"/>
    </row>
    <row r="63" spans="1:11" s="2" customFormat="1" ht="11.25" customHeight="1" x14ac:dyDescent="0.2">
      <c r="A63" s="4">
        <v>15</v>
      </c>
      <c r="B63" s="4" t="str">
        <f t="shared" si="2"/>
        <v/>
      </c>
      <c r="C63" s="4" t="str">
        <f t="shared" si="4"/>
        <v/>
      </c>
      <c r="D63" s="4" t="str">
        <f t="shared" si="5"/>
        <v/>
      </c>
      <c r="E63" s="4" t="str">
        <f t="shared" si="6"/>
        <v/>
      </c>
      <c r="F63" s="4" t="str">
        <f t="shared" si="3"/>
        <v/>
      </c>
      <c r="G63" s="4" t="str">
        <f t="shared" si="7"/>
        <v/>
      </c>
      <c r="H63" s="4" t="str">
        <f t="shared" si="8"/>
        <v/>
      </c>
      <c r="I63" s="4" t="str">
        <f t="shared" si="9"/>
        <v/>
      </c>
      <c r="J63" s="4" t="str">
        <f t="shared" si="10"/>
        <v/>
      </c>
      <c r="K63" s="4"/>
    </row>
    <row r="64" spans="1:11" s="2" customFormat="1" ht="11.25" customHeight="1" x14ac:dyDescent="0.2">
      <c r="A64" s="4">
        <v>16</v>
      </c>
      <c r="B64" s="4" t="str">
        <f t="shared" si="2"/>
        <v/>
      </c>
      <c r="C64" s="4" t="str">
        <f t="shared" si="4"/>
        <v/>
      </c>
      <c r="D64" s="4" t="str">
        <f t="shared" si="5"/>
        <v/>
      </c>
      <c r="E64" s="4" t="str">
        <f t="shared" si="6"/>
        <v/>
      </c>
      <c r="F64" s="4" t="str">
        <f t="shared" si="3"/>
        <v/>
      </c>
      <c r="G64" s="4" t="str">
        <f t="shared" si="7"/>
        <v/>
      </c>
      <c r="H64" s="4" t="str">
        <f t="shared" si="8"/>
        <v/>
      </c>
      <c r="I64" s="4" t="str">
        <f t="shared" si="9"/>
        <v/>
      </c>
      <c r="J64" s="4" t="str">
        <f t="shared" si="10"/>
        <v/>
      </c>
      <c r="K64" s="4"/>
    </row>
    <row r="65" spans="1:11" s="2" customFormat="1" ht="11.25" customHeight="1" x14ac:dyDescent="0.2">
      <c r="A65" s="4">
        <v>17</v>
      </c>
      <c r="B65" s="4" t="str">
        <f t="shared" si="2"/>
        <v/>
      </c>
      <c r="C65" s="4" t="str">
        <f t="shared" si="4"/>
        <v/>
      </c>
      <c r="D65" s="4" t="str">
        <f t="shared" si="5"/>
        <v/>
      </c>
      <c r="E65" s="4" t="str">
        <f t="shared" si="6"/>
        <v/>
      </c>
      <c r="F65" s="4" t="str">
        <f t="shared" si="3"/>
        <v/>
      </c>
      <c r="G65" s="4" t="str">
        <f t="shared" si="7"/>
        <v/>
      </c>
      <c r="H65" s="4" t="str">
        <f t="shared" si="8"/>
        <v/>
      </c>
      <c r="I65" s="4" t="str">
        <f t="shared" si="9"/>
        <v/>
      </c>
      <c r="J65" s="4" t="str">
        <f t="shared" si="10"/>
        <v/>
      </c>
      <c r="K65" s="4"/>
    </row>
    <row r="66" spans="1:11" s="2" customFormat="1" ht="11.25" customHeight="1" x14ac:dyDescent="0.2">
      <c r="A66" s="4">
        <v>18</v>
      </c>
      <c r="B66" s="4" t="str">
        <f t="shared" si="2"/>
        <v/>
      </c>
      <c r="C66" s="4" t="str">
        <f t="shared" si="4"/>
        <v/>
      </c>
      <c r="D66" s="4" t="str">
        <f t="shared" si="5"/>
        <v/>
      </c>
      <c r="E66" s="4" t="str">
        <f t="shared" si="6"/>
        <v/>
      </c>
      <c r="F66" s="4" t="str">
        <f t="shared" si="3"/>
        <v/>
      </c>
      <c r="G66" s="4" t="str">
        <f t="shared" si="7"/>
        <v/>
      </c>
      <c r="H66" s="4" t="str">
        <f t="shared" si="8"/>
        <v/>
      </c>
      <c r="I66" s="4" t="str">
        <f t="shared" si="9"/>
        <v/>
      </c>
      <c r="J66" s="4" t="str">
        <f t="shared" si="10"/>
        <v/>
      </c>
      <c r="K66" s="4"/>
    </row>
    <row r="67" spans="1:11" s="2" customFormat="1" ht="11.25" customHeight="1" x14ac:dyDescent="0.2">
      <c r="A67" s="4">
        <v>19</v>
      </c>
      <c r="B67" s="4" t="str">
        <f t="shared" si="2"/>
        <v/>
      </c>
      <c r="C67" s="4" t="str">
        <f t="shared" si="4"/>
        <v/>
      </c>
      <c r="D67" s="4" t="str">
        <f t="shared" si="5"/>
        <v/>
      </c>
      <c r="E67" s="4" t="str">
        <f t="shared" si="6"/>
        <v/>
      </c>
      <c r="F67" s="4" t="str">
        <f t="shared" si="3"/>
        <v/>
      </c>
      <c r="G67" s="4" t="str">
        <f t="shared" si="7"/>
        <v/>
      </c>
      <c r="H67" s="4" t="str">
        <f t="shared" si="8"/>
        <v/>
      </c>
      <c r="I67" s="4" t="str">
        <f t="shared" si="9"/>
        <v/>
      </c>
      <c r="J67" s="4" t="str">
        <f t="shared" si="10"/>
        <v/>
      </c>
      <c r="K67" s="4"/>
    </row>
    <row r="68" spans="1:11" s="2" customFormat="1" ht="11.25" customHeight="1" x14ac:dyDescent="0.2">
      <c r="A68" s="4">
        <v>20</v>
      </c>
      <c r="B68" s="4" t="str">
        <f t="shared" si="2"/>
        <v/>
      </c>
      <c r="C68" s="4" t="str">
        <f t="shared" si="4"/>
        <v/>
      </c>
      <c r="D68" s="4" t="str">
        <f t="shared" si="5"/>
        <v/>
      </c>
      <c r="E68" s="4" t="str">
        <f t="shared" si="6"/>
        <v/>
      </c>
      <c r="F68" s="4" t="str">
        <f t="shared" si="3"/>
        <v/>
      </c>
      <c r="G68" s="4" t="str">
        <f t="shared" si="7"/>
        <v/>
      </c>
      <c r="H68" s="4" t="str">
        <f t="shared" si="8"/>
        <v/>
      </c>
      <c r="I68" s="4" t="str">
        <f t="shared" si="9"/>
        <v/>
      </c>
      <c r="J68" s="4" t="str">
        <f t="shared" si="10"/>
        <v/>
      </c>
      <c r="K68" s="4"/>
    </row>
    <row r="69" spans="1:11" s="2" customFormat="1" ht="11.25" customHeight="1" x14ac:dyDescent="0.2">
      <c r="A69" s="4" t="s">
        <v>42</v>
      </c>
      <c r="B69" s="4">
        <f>SUM(B49:B68)</f>
        <v>188.88</v>
      </c>
      <c r="C69" s="4">
        <f t="shared" ref="C69:J69" si="11">SUM(C49:C68)</f>
        <v>13030.303</v>
      </c>
      <c r="D69" s="4">
        <f t="shared" si="11"/>
        <v>1134134.1341339999</v>
      </c>
      <c r="E69" s="4">
        <f t="shared" si="11"/>
        <v>106420642.06420642</v>
      </c>
      <c r="F69" s="4">
        <f t="shared" si="11"/>
        <v>450184.57</v>
      </c>
      <c r="G69" s="4">
        <f t="shared" si="11"/>
        <v>30320218.073799998</v>
      </c>
      <c r="H69" s="4">
        <f t="shared" si="11"/>
        <v>2614996851.7833042</v>
      </c>
      <c r="I69" s="4"/>
      <c r="J69" s="4">
        <f t="shared" si="11"/>
        <v>7341865.0306135938</v>
      </c>
      <c r="K69" s="4"/>
    </row>
    <row r="70" spans="1:11" s="2" customFormat="1" ht="11.25" customHeight="1" x14ac:dyDescent="0.25">
      <c r="A70" s="4" t="s">
        <v>66</v>
      </c>
      <c r="B70" s="4">
        <f>C69-(B69^2)/B44</f>
        <v>10286.021892307692</v>
      </c>
      <c r="C70" s="4"/>
      <c r="D70" s="4"/>
      <c r="E70" s="4"/>
      <c r="F70" s="4"/>
      <c r="G70" s="4"/>
      <c r="H70" s="4"/>
      <c r="I70" s="4"/>
      <c r="J70" s="4"/>
      <c r="K70" s="4"/>
    </row>
    <row r="71" spans="1:11" s="2" customFormat="1" ht="11.25" customHeight="1" x14ac:dyDescent="0.25">
      <c r="A71" s="4" t="s">
        <v>67</v>
      </c>
      <c r="B71" s="4">
        <f>G69-(B69*F69/B44)</f>
        <v>23779382.567523077</v>
      </c>
      <c r="C71" s="4"/>
      <c r="D71" s="4"/>
      <c r="E71" s="4"/>
      <c r="F71" s="4"/>
      <c r="G71" s="4"/>
      <c r="H71" s="4"/>
      <c r="I71" s="4"/>
      <c r="J71" s="4"/>
      <c r="K71" s="4"/>
    </row>
    <row r="72" spans="1:11" s="2" customFormat="1" ht="11.25" customHeight="1" x14ac:dyDescent="0.25">
      <c r="A72" s="4" t="s">
        <v>68</v>
      </c>
      <c r="B72" s="4">
        <f>D69-(B69*C69/B44)</f>
        <v>944813.85485399992</v>
      </c>
      <c r="C72" s="4"/>
      <c r="D72" s="4"/>
      <c r="E72" s="4"/>
      <c r="F72" s="4"/>
      <c r="G72" s="4"/>
      <c r="H72" s="4"/>
      <c r="I72" s="4"/>
      <c r="J72" s="4"/>
      <c r="K72" s="4"/>
    </row>
    <row r="73" spans="1:11" s="2" customFormat="1" ht="11.25" customHeight="1" x14ac:dyDescent="0.25">
      <c r="A73" s="4" t="s">
        <v>69</v>
      </c>
      <c r="B73" s="4">
        <f>E69-(C69^2/B44)</f>
        <v>93359965.427913427</v>
      </c>
      <c r="C73" s="4"/>
      <c r="D73" s="4"/>
      <c r="E73" s="4"/>
      <c r="F73" s="4"/>
      <c r="G73" s="4"/>
      <c r="H73" s="4"/>
      <c r="I73" s="4"/>
      <c r="J73" s="4"/>
      <c r="K73" s="4"/>
    </row>
    <row r="74" spans="1:11" s="2" customFormat="1" ht="11.25" customHeight="1" x14ac:dyDescent="0.25">
      <c r="A74" s="4" t="s">
        <v>70</v>
      </c>
      <c r="B74" s="4">
        <f>H69-(F69*C69/B44)</f>
        <v>2163762901.5506344</v>
      </c>
      <c r="C74" s="4"/>
      <c r="D74" s="4"/>
      <c r="E74" s="4"/>
      <c r="F74" s="4"/>
      <c r="G74" s="4"/>
      <c r="H74" s="4"/>
      <c r="I74" s="4"/>
      <c r="J74" s="4"/>
      <c r="K74" s="4"/>
    </row>
    <row r="75" spans="1:11" s="2" customFormat="1" ht="11.2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s="2" customFormat="1" ht="11.25" customHeight="1" x14ac:dyDescent="0.25">
      <c r="A76" s="4" t="s">
        <v>71</v>
      </c>
      <c r="B76" s="4">
        <f>((B71*B72)-(B74*B70))/(B72^2-(B70*B73))</f>
        <v>-3.1136968179964706</v>
      </c>
      <c r="C76" s="4"/>
      <c r="D76" s="4" t="s">
        <v>72</v>
      </c>
      <c r="E76" s="4">
        <f>SQRT(J69/(B44-3))</f>
        <v>856.84683757446373</v>
      </c>
      <c r="F76" s="4"/>
      <c r="G76" s="4"/>
      <c r="H76" s="4"/>
      <c r="I76" s="4"/>
      <c r="J76" s="4"/>
      <c r="K76" s="4"/>
    </row>
    <row r="77" spans="1:11" s="2" customFormat="1" ht="11.25" customHeight="1" x14ac:dyDescent="0.25">
      <c r="A77" s="4" t="s">
        <v>73</v>
      </c>
      <c r="B77" s="4">
        <f>(B71-B76*B72)/B70</f>
        <v>2597.8212705306605</v>
      </c>
      <c r="C77" s="4"/>
      <c r="D77" s="4"/>
      <c r="E77" s="4"/>
      <c r="F77" s="4"/>
      <c r="G77" s="4"/>
      <c r="H77" s="4"/>
      <c r="I77" s="4"/>
      <c r="J77" s="4"/>
      <c r="K77" s="4"/>
    </row>
    <row r="78" spans="1:11" s="2" customFormat="1" ht="11.25" customHeight="1" x14ac:dyDescent="0.25">
      <c r="A78" s="4" t="s">
        <v>74</v>
      </c>
      <c r="B78" s="4">
        <f>(F69-B77*B69-B76*C69)/B44</f>
        <v>6.1924162152863573</v>
      </c>
      <c r="C78" s="4"/>
      <c r="D78" s="4"/>
      <c r="E78" s="4"/>
      <c r="F78" s="4"/>
      <c r="G78" s="4"/>
      <c r="H78" s="4"/>
      <c r="I78" s="4"/>
      <c r="J78" s="4"/>
      <c r="K78" s="4"/>
    </row>
    <row r="79" spans="1:11" s="2" customFormat="1" ht="11.2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s="2" customFormat="1" ht="11.25" customHeight="1" x14ac:dyDescent="0.2">
      <c r="A80" s="4" t="s">
        <v>75</v>
      </c>
      <c r="B80" s="4">
        <f>(B44-2)*B45^2-(B44-3)*E76^2</f>
        <v>63744235.250010796</v>
      </c>
      <c r="C80" s="4"/>
      <c r="D80" s="4"/>
      <c r="E80" s="4"/>
      <c r="F80" s="4"/>
      <c r="G80" s="4"/>
      <c r="H80" s="4"/>
      <c r="I80" s="4"/>
      <c r="J80" s="4"/>
      <c r="K80" s="4"/>
    </row>
    <row r="81" spans="1:11" s="2" customFormat="1" ht="11.25" customHeight="1" x14ac:dyDescent="0.25">
      <c r="A81" s="4" t="s">
        <v>76</v>
      </c>
      <c r="B81" s="4">
        <f>B80/E76^2</f>
        <v>86.822946191757211</v>
      </c>
      <c r="C81" s="4"/>
      <c r="D81" s="4"/>
      <c r="E81" s="4"/>
      <c r="F81" s="4"/>
      <c r="G81" s="4"/>
      <c r="H81" s="4"/>
      <c r="I81" s="4"/>
      <c r="J81" s="4"/>
      <c r="K81" s="4"/>
    </row>
    <row r="82" spans="1:11" s="2" customFormat="1" ht="11.25" customHeight="1" x14ac:dyDescent="0.2">
      <c r="A82" s="4"/>
      <c r="B82" s="4">
        <f>FINV(0.01,1,B44-3)</f>
        <v>10.044289273396597</v>
      </c>
      <c r="C82" s="4"/>
      <c r="D82" s="23" t="s">
        <v>45</v>
      </c>
      <c r="E82" s="4"/>
      <c r="F82" s="23" t="str">
        <f>IF(B81&lt;=B82,"linear","nicht linear")</f>
        <v>nicht linear</v>
      </c>
      <c r="G82" s="4"/>
      <c r="H82" s="4"/>
      <c r="I82" s="4"/>
      <c r="J82" s="4"/>
      <c r="K82" s="4"/>
    </row>
    <row r="83" spans="1:11" ht="7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x14ac:dyDescent="0.25">
      <c r="A84" s="8" t="s">
        <v>47</v>
      </c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x14ac:dyDescent="0.2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x14ac:dyDescent="0.25">
      <c r="A87" s="5" t="str">
        <f>A48</f>
        <v>lfd. Nr.</v>
      </c>
      <c r="B87" s="7" t="str">
        <f>B48</f>
        <v>x</v>
      </c>
      <c r="C87" s="7" t="str">
        <f>F48</f>
        <v>y</v>
      </c>
      <c r="D87" s="9" t="s">
        <v>49</v>
      </c>
      <c r="E87" s="5" t="s">
        <v>52</v>
      </c>
      <c r="F87" s="5"/>
      <c r="G87" s="5"/>
      <c r="H87" s="5"/>
      <c r="I87" s="5"/>
      <c r="J87" s="5"/>
      <c r="K87" s="5"/>
    </row>
    <row r="88" spans="1:11" x14ac:dyDescent="0.25">
      <c r="A88" s="5">
        <f t="shared" ref="A88:A107" si="12">A49</f>
        <v>1</v>
      </c>
      <c r="B88" s="5">
        <f t="shared" ref="B88:C107" si="13">IF(B16&lt;&gt;"",B16,NA())</f>
        <v>0.01</v>
      </c>
      <c r="C88" s="5">
        <f t="shared" si="13"/>
        <v>24.17</v>
      </c>
      <c r="D88" s="5">
        <f>C88/B88</f>
        <v>2417</v>
      </c>
      <c r="E88" s="5">
        <f>LOG10(B88)</f>
        <v>-2</v>
      </c>
      <c r="F88" s="5"/>
      <c r="G88" s="5"/>
      <c r="H88" s="5"/>
      <c r="I88" s="5"/>
      <c r="J88" s="5"/>
      <c r="K88" s="5"/>
    </row>
    <row r="89" spans="1:11" x14ac:dyDescent="0.25">
      <c r="A89" s="5">
        <f t="shared" si="12"/>
        <v>2</v>
      </c>
      <c r="B89" s="5">
        <f t="shared" si="13"/>
        <v>0.02</v>
      </c>
      <c r="C89" s="5">
        <f t="shared" si="13"/>
        <v>51.28</v>
      </c>
      <c r="D89" s="5">
        <f t="shared" ref="D89:D107" si="14">C89/B89</f>
        <v>2564</v>
      </c>
      <c r="E89" s="5">
        <f t="shared" ref="E89:E109" si="15">LOG10(B89)</f>
        <v>-1.6989700043360187</v>
      </c>
      <c r="F89" s="5"/>
      <c r="G89" s="5"/>
      <c r="H89" s="5"/>
      <c r="I89" s="5"/>
      <c r="J89" s="5"/>
      <c r="K89" s="5"/>
    </row>
    <row r="90" spans="1:11" x14ac:dyDescent="0.25">
      <c r="A90" s="5">
        <f t="shared" si="12"/>
        <v>3</v>
      </c>
      <c r="B90" s="5">
        <f t="shared" si="13"/>
        <v>0.05</v>
      </c>
      <c r="C90" s="5">
        <f t="shared" si="13"/>
        <v>126.51</v>
      </c>
      <c r="D90" s="5">
        <f t="shared" si="14"/>
        <v>2530.1999999999998</v>
      </c>
      <c r="E90" s="5">
        <f t="shared" si="15"/>
        <v>-1.3010299956639813</v>
      </c>
      <c r="F90" s="5"/>
      <c r="G90" s="5"/>
      <c r="H90" s="5"/>
      <c r="I90" s="5"/>
      <c r="J90" s="5"/>
      <c r="K90" s="5"/>
    </row>
    <row r="91" spans="1:11" x14ac:dyDescent="0.25">
      <c r="A91" s="5">
        <f t="shared" si="12"/>
        <v>4</v>
      </c>
      <c r="B91" s="5">
        <f t="shared" si="13"/>
        <v>0.1</v>
      </c>
      <c r="C91" s="5">
        <f t="shared" si="13"/>
        <v>250.71</v>
      </c>
      <c r="D91" s="5">
        <f t="shared" si="14"/>
        <v>2507.1</v>
      </c>
      <c r="E91" s="5">
        <f t="shared" si="15"/>
        <v>-1</v>
      </c>
      <c r="F91" s="5"/>
      <c r="G91" s="5"/>
      <c r="H91" s="5"/>
      <c r="I91" s="5"/>
      <c r="J91" s="5"/>
      <c r="K91" s="5"/>
    </row>
    <row r="92" spans="1:11" x14ac:dyDescent="0.25">
      <c r="A92" s="5">
        <f t="shared" si="12"/>
        <v>5</v>
      </c>
      <c r="B92" s="5">
        <f t="shared" si="13"/>
        <v>0.2</v>
      </c>
      <c r="C92" s="5">
        <f t="shared" si="13"/>
        <v>512.29999999999995</v>
      </c>
      <c r="D92" s="5">
        <f t="shared" si="14"/>
        <v>2561.4999999999995</v>
      </c>
      <c r="E92" s="5">
        <f t="shared" si="15"/>
        <v>-0.69897000433601875</v>
      </c>
      <c r="F92" s="5"/>
      <c r="G92" s="5"/>
      <c r="H92" s="5"/>
      <c r="I92" s="5"/>
      <c r="J92" s="5"/>
      <c r="K92" s="5"/>
    </row>
    <row r="93" spans="1:11" x14ac:dyDescent="0.25">
      <c r="A93" s="5">
        <f t="shared" si="12"/>
        <v>6</v>
      </c>
      <c r="B93" s="5">
        <f t="shared" si="13"/>
        <v>0.5</v>
      </c>
      <c r="C93" s="5">
        <f t="shared" si="13"/>
        <v>1279.54</v>
      </c>
      <c r="D93" s="5">
        <f t="shared" si="14"/>
        <v>2559.08</v>
      </c>
      <c r="E93" s="5">
        <f t="shared" si="15"/>
        <v>-0.3010299956639812</v>
      </c>
      <c r="F93" s="5"/>
      <c r="G93" s="5"/>
      <c r="H93" s="5"/>
      <c r="I93" s="5"/>
      <c r="J93" s="5"/>
      <c r="K93" s="5"/>
    </row>
    <row r="94" spans="1:11" x14ac:dyDescent="0.25">
      <c r="A94" s="5">
        <f t="shared" si="12"/>
        <v>7</v>
      </c>
      <c r="B94" s="5">
        <f t="shared" si="13"/>
        <v>1</v>
      </c>
      <c r="C94" s="5">
        <f t="shared" si="13"/>
        <v>2513.75</v>
      </c>
      <c r="D94" s="5">
        <f t="shared" si="14"/>
        <v>2513.75</v>
      </c>
      <c r="E94" s="5">
        <f t="shared" si="15"/>
        <v>0</v>
      </c>
      <c r="F94" s="5"/>
      <c r="G94" s="5"/>
      <c r="H94" s="5"/>
      <c r="I94" s="5"/>
      <c r="J94" s="5"/>
      <c r="K94" s="5"/>
    </row>
    <row r="95" spans="1:11" x14ac:dyDescent="0.25">
      <c r="A95" s="5">
        <f t="shared" si="12"/>
        <v>8</v>
      </c>
      <c r="B95" s="5">
        <f t="shared" si="13"/>
        <v>2</v>
      </c>
      <c r="C95" s="5">
        <f t="shared" si="13"/>
        <v>5078.3900000000003</v>
      </c>
      <c r="D95" s="5">
        <f t="shared" si="14"/>
        <v>2539.1950000000002</v>
      </c>
      <c r="E95" s="5">
        <f t="shared" si="15"/>
        <v>0.3010299956639812</v>
      </c>
      <c r="F95" s="5"/>
      <c r="G95" s="5"/>
      <c r="H95" s="5"/>
      <c r="I95" s="5"/>
      <c r="J95" s="5"/>
      <c r="K95" s="5"/>
    </row>
    <row r="96" spans="1:11" x14ac:dyDescent="0.25">
      <c r="A96" s="5">
        <f t="shared" si="12"/>
        <v>9</v>
      </c>
      <c r="B96" s="5">
        <f t="shared" si="13"/>
        <v>5</v>
      </c>
      <c r="C96" s="5">
        <f t="shared" si="13"/>
        <v>12747.17</v>
      </c>
      <c r="D96" s="5">
        <f t="shared" si="14"/>
        <v>2549.4340000000002</v>
      </c>
      <c r="E96" s="5">
        <f t="shared" si="15"/>
        <v>0.69897000433601886</v>
      </c>
      <c r="F96" s="5"/>
      <c r="G96" s="5"/>
      <c r="H96" s="5"/>
      <c r="I96" s="5"/>
      <c r="J96" s="5"/>
      <c r="K96" s="5"/>
    </row>
    <row r="97" spans="1:11" x14ac:dyDescent="0.25">
      <c r="A97" s="5">
        <f t="shared" si="12"/>
        <v>10</v>
      </c>
      <c r="B97" s="5">
        <f t="shared" si="13"/>
        <v>10</v>
      </c>
      <c r="C97" s="5">
        <f t="shared" si="13"/>
        <v>24724.14</v>
      </c>
      <c r="D97" s="5">
        <f t="shared" si="14"/>
        <v>2472.4139999999998</v>
      </c>
      <c r="E97" s="5">
        <f t="shared" si="15"/>
        <v>1</v>
      </c>
      <c r="F97" s="5"/>
      <c r="G97" s="5"/>
      <c r="H97" s="5"/>
      <c r="I97" s="5"/>
      <c r="J97" s="5"/>
      <c r="K97" s="5"/>
    </row>
    <row r="98" spans="1:11" x14ac:dyDescent="0.25">
      <c r="A98" s="5">
        <f t="shared" si="12"/>
        <v>11</v>
      </c>
      <c r="B98" s="5">
        <f t="shared" si="13"/>
        <v>20</v>
      </c>
      <c r="C98" s="5">
        <f t="shared" si="13"/>
        <v>52998.47</v>
      </c>
      <c r="D98" s="5">
        <f t="shared" si="14"/>
        <v>2649.9234999999999</v>
      </c>
      <c r="E98" s="5">
        <f t="shared" si="15"/>
        <v>1.3010299956639813</v>
      </c>
      <c r="F98" s="5"/>
      <c r="G98" s="5"/>
      <c r="H98" s="5"/>
      <c r="I98" s="5"/>
      <c r="J98" s="5"/>
      <c r="K98" s="5"/>
    </row>
    <row r="99" spans="1:11" x14ac:dyDescent="0.25">
      <c r="A99" s="5">
        <f t="shared" si="12"/>
        <v>12</v>
      </c>
      <c r="B99" s="5">
        <f t="shared" si="13"/>
        <v>50</v>
      </c>
      <c r="C99" s="5">
        <f t="shared" si="13"/>
        <v>121039.76</v>
      </c>
      <c r="D99" s="5">
        <f t="shared" si="14"/>
        <v>2420.7952</v>
      </c>
      <c r="E99" s="5">
        <f t="shared" si="15"/>
        <v>1.6989700043360187</v>
      </c>
      <c r="F99" s="5"/>
      <c r="G99" s="5"/>
      <c r="H99" s="5"/>
      <c r="I99" s="5"/>
      <c r="J99" s="5"/>
      <c r="K99" s="5"/>
    </row>
    <row r="100" spans="1:11" x14ac:dyDescent="0.25">
      <c r="A100" s="5">
        <f t="shared" si="12"/>
        <v>13</v>
      </c>
      <c r="B100" s="5">
        <f t="shared" si="13"/>
        <v>100</v>
      </c>
      <c r="C100" s="5">
        <f t="shared" si="13"/>
        <v>228838.38</v>
      </c>
      <c r="D100" s="5">
        <f t="shared" si="14"/>
        <v>2288.3838000000001</v>
      </c>
      <c r="E100" s="5">
        <f t="shared" si="15"/>
        <v>2</v>
      </c>
      <c r="F100" s="5"/>
      <c r="G100" s="5"/>
      <c r="H100" s="5"/>
      <c r="I100" s="5"/>
      <c r="J100" s="5"/>
      <c r="K100" s="5"/>
    </row>
    <row r="101" spans="1:11" x14ac:dyDescent="0.25">
      <c r="A101" s="5">
        <f t="shared" si="12"/>
        <v>14</v>
      </c>
      <c r="B101" s="5" t="e">
        <f t="shared" si="13"/>
        <v>#N/A</v>
      </c>
      <c r="C101" s="5" t="e">
        <f t="shared" si="13"/>
        <v>#N/A</v>
      </c>
      <c r="D101" s="5" t="e">
        <f t="shared" si="14"/>
        <v>#N/A</v>
      </c>
      <c r="E101" s="5" t="e">
        <f t="shared" si="15"/>
        <v>#N/A</v>
      </c>
      <c r="F101" s="5"/>
      <c r="G101" s="5"/>
      <c r="H101" s="5"/>
      <c r="I101" s="5"/>
      <c r="J101" s="5"/>
      <c r="K101" s="5"/>
    </row>
    <row r="102" spans="1:11" x14ac:dyDescent="0.25">
      <c r="A102" s="5">
        <f t="shared" si="12"/>
        <v>15</v>
      </c>
      <c r="B102" s="5" t="e">
        <f t="shared" si="13"/>
        <v>#N/A</v>
      </c>
      <c r="C102" s="5" t="e">
        <f t="shared" si="13"/>
        <v>#N/A</v>
      </c>
      <c r="D102" s="5" t="e">
        <f t="shared" si="14"/>
        <v>#N/A</v>
      </c>
      <c r="E102" s="5" t="e">
        <f t="shared" si="15"/>
        <v>#N/A</v>
      </c>
      <c r="F102" s="5"/>
      <c r="G102" s="5"/>
      <c r="H102" s="5"/>
      <c r="I102" s="5"/>
      <c r="J102" s="5"/>
      <c r="K102" s="5"/>
    </row>
    <row r="103" spans="1:11" x14ac:dyDescent="0.25">
      <c r="A103" s="5">
        <f t="shared" si="12"/>
        <v>16</v>
      </c>
      <c r="B103" s="5" t="e">
        <f t="shared" si="13"/>
        <v>#N/A</v>
      </c>
      <c r="C103" s="5" t="e">
        <f t="shared" si="13"/>
        <v>#N/A</v>
      </c>
      <c r="D103" s="5" t="e">
        <f t="shared" si="14"/>
        <v>#N/A</v>
      </c>
      <c r="E103" s="5" t="e">
        <f t="shared" si="15"/>
        <v>#N/A</v>
      </c>
      <c r="F103" s="5"/>
      <c r="G103" s="5"/>
      <c r="H103" s="5"/>
      <c r="I103" s="5"/>
      <c r="J103" s="5"/>
      <c r="K103" s="5"/>
    </row>
    <row r="104" spans="1:11" x14ac:dyDescent="0.25">
      <c r="A104" s="5">
        <f>A65</f>
        <v>17</v>
      </c>
      <c r="B104" s="5" t="e">
        <f t="shared" si="13"/>
        <v>#N/A</v>
      </c>
      <c r="C104" s="5" t="e">
        <f t="shared" si="13"/>
        <v>#N/A</v>
      </c>
      <c r="D104" s="5" t="e">
        <f t="shared" si="14"/>
        <v>#N/A</v>
      </c>
      <c r="E104" s="5" t="e">
        <f t="shared" si="15"/>
        <v>#N/A</v>
      </c>
      <c r="F104" s="5"/>
      <c r="G104" s="5"/>
      <c r="H104" s="5"/>
      <c r="I104" s="5"/>
      <c r="J104" s="5"/>
      <c r="K104" s="5"/>
    </row>
    <row r="105" spans="1:11" x14ac:dyDescent="0.25">
      <c r="A105" s="5">
        <f t="shared" si="12"/>
        <v>18</v>
      </c>
      <c r="B105" s="5" t="e">
        <f t="shared" si="13"/>
        <v>#N/A</v>
      </c>
      <c r="C105" s="5" t="e">
        <f t="shared" si="13"/>
        <v>#N/A</v>
      </c>
      <c r="D105" s="5" t="e">
        <f t="shared" si="14"/>
        <v>#N/A</v>
      </c>
      <c r="E105" s="5" t="e">
        <f t="shared" si="15"/>
        <v>#N/A</v>
      </c>
      <c r="F105" s="5"/>
      <c r="G105" s="5"/>
      <c r="H105" s="5"/>
      <c r="I105" s="5"/>
      <c r="J105" s="5"/>
      <c r="K105" s="5"/>
    </row>
    <row r="106" spans="1:11" x14ac:dyDescent="0.25">
      <c r="A106" s="5">
        <f t="shared" si="12"/>
        <v>19</v>
      </c>
      <c r="B106" s="5" t="e">
        <f t="shared" si="13"/>
        <v>#N/A</v>
      </c>
      <c r="C106" s="5" t="e">
        <f t="shared" si="13"/>
        <v>#N/A</v>
      </c>
      <c r="D106" s="5" t="e">
        <f t="shared" si="14"/>
        <v>#N/A</v>
      </c>
      <c r="E106" s="5" t="e">
        <f t="shared" si="15"/>
        <v>#N/A</v>
      </c>
      <c r="F106" s="5"/>
      <c r="G106" s="5"/>
      <c r="H106" s="5"/>
      <c r="I106" s="5"/>
      <c r="J106" s="5"/>
      <c r="K106" s="5"/>
    </row>
    <row r="107" spans="1:11" x14ac:dyDescent="0.25">
      <c r="A107" s="5">
        <f t="shared" si="12"/>
        <v>20</v>
      </c>
      <c r="B107" s="5" t="e">
        <f t="shared" si="13"/>
        <v>#N/A</v>
      </c>
      <c r="C107" s="5" t="e">
        <f t="shared" si="13"/>
        <v>#N/A</v>
      </c>
      <c r="D107" s="5" t="e">
        <f t="shared" si="14"/>
        <v>#N/A</v>
      </c>
      <c r="E107" s="5" t="e">
        <f t="shared" si="15"/>
        <v>#N/A</v>
      </c>
      <c r="F107" s="5"/>
      <c r="G107" s="5"/>
      <c r="H107" s="5"/>
      <c r="I107" s="5"/>
      <c r="J107" s="5"/>
      <c r="K107" s="5"/>
    </row>
    <row r="108" spans="1:11" x14ac:dyDescent="0.25">
      <c r="A108" s="5" t="s">
        <v>53</v>
      </c>
      <c r="B108" s="5">
        <f>MIN(B16:B35)</f>
        <v>0.01</v>
      </c>
      <c r="C108" s="5"/>
      <c r="D108" s="5"/>
      <c r="E108" s="5">
        <f t="shared" si="15"/>
        <v>-2</v>
      </c>
      <c r="F108" s="5"/>
      <c r="G108" s="5"/>
      <c r="H108" s="5"/>
      <c r="I108" s="5"/>
      <c r="J108" s="5"/>
      <c r="K108" s="5"/>
    </row>
    <row r="109" spans="1:11" x14ac:dyDescent="0.25">
      <c r="A109" s="5" t="s">
        <v>54</v>
      </c>
      <c r="B109" s="5">
        <f>MAX(B16:B35)</f>
        <v>100</v>
      </c>
      <c r="C109" s="5"/>
      <c r="D109" s="5"/>
      <c r="E109" s="5">
        <f t="shared" si="15"/>
        <v>2</v>
      </c>
      <c r="F109" s="5"/>
      <c r="G109" s="5"/>
      <c r="H109" s="5"/>
      <c r="I109" s="5"/>
      <c r="J109" s="5"/>
      <c r="K109" s="5"/>
    </row>
    <row r="110" spans="1:1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18" x14ac:dyDescent="0.35">
      <c r="A111" s="5" t="s">
        <v>50</v>
      </c>
      <c r="B111" s="5">
        <f>B77*(1-E9)</f>
        <v>2338.0391434775947</v>
      </c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18" x14ac:dyDescent="0.35">
      <c r="A112" s="5" t="s">
        <v>51</v>
      </c>
      <c r="B112" s="5">
        <f>B77*(1+E9)</f>
        <v>2857.6033975837267</v>
      </c>
      <c r="C112" s="5"/>
      <c r="D112" s="5"/>
      <c r="E112" s="5"/>
      <c r="F112" s="5"/>
      <c r="G112" s="5"/>
      <c r="H112" s="5"/>
      <c r="I112" s="5"/>
      <c r="J112" s="5"/>
      <c r="K112" s="5"/>
    </row>
    <row r="113" spans="1:1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x14ac:dyDescent="0.25">
      <c r="A116" s="5" t="s">
        <v>56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x14ac:dyDescent="0.25">
      <c r="A117" s="7" t="str">
        <f>A48</f>
        <v>lfd. Nr.</v>
      </c>
      <c r="B117" s="7" t="str">
        <f t="shared" ref="B117" si="16">B48</f>
        <v>x</v>
      </c>
      <c r="C117" s="7" t="str">
        <f>F48</f>
        <v>y</v>
      </c>
      <c r="D117" s="7" t="s">
        <v>55</v>
      </c>
      <c r="E117" s="7"/>
      <c r="F117" s="7"/>
      <c r="G117" s="5"/>
      <c r="H117" s="5"/>
      <c r="I117" s="5"/>
      <c r="J117" s="5"/>
      <c r="K117" s="5"/>
    </row>
    <row r="118" spans="1:11" x14ac:dyDescent="0.25">
      <c r="A118" s="5">
        <f t="shared" ref="A118:A137" si="17">A49</f>
        <v>1</v>
      </c>
      <c r="B118" s="5">
        <f t="shared" ref="B118:C137" si="18">IF(B16&lt;&gt;"",B16,NA())</f>
        <v>0.01</v>
      </c>
      <c r="C118" s="5">
        <f t="shared" si="18"/>
        <v>24.17</v>
      </c>
      <c r="D118" s="5">
        <f>(C118-$B$78)/B118</f>
        <v>1797.7583784713645</v>
      </c>
      <c r="E118" s="5"/>
      <c r="F118" s="5"/>
      <c r="G118" s="5"/>
      <c r="H118" s="5"/>
      <c r="I118" s="5"/>
      <c r="J118" s="5"/>
      <c r="K118" s="5"/>
    </row>
    <row r="119" spans="1:11" x14ac:dyDescent="0.25">
      <c r="A119" s="5">
        <f t="shared" si="17"/>
        <v>2</v>
      </c>
      <c r="B119" s="5">
        <f t="shared" si="18"/>
        <v>0.02</v>
      </c>
      <c r="C119" s="5">
        <f t="shared" si="18"/>
        <v>51.28</v>
      </c>
      <c r="D119" s="5">
        <f t="shared" ref="D119:D137" si="19">(C119-$B$78)/B119</f>
        <v>2254.3791892356821</v>
      </c>
      <c r="E119" s="5"/>
      <c r="F119" s="5"/>
      <c r="G119" s="5"/>
      <c r="H119" s="5"/>
      <c r="I119" s="5"/>
      <c r="J119" s="5"/>
      <c r="K119" s="5"/>
    </row>
    <row r="120" spans="1:11" x14ac:dyDescent="0.25">
      <c r="A120" s="5">
        <f t="shared" si="17"/>
        <v>3</v>
      </c>
      <c r="B120" s="5">
        <f t="shared" si="18"/>
        <v>0.05</v>
      </c>
      <c r="C120" s="5">
        <f t="shared" si="18"/>
        <v>126.51</v>
      </c>
      <c r="D120" s="5">
        <f t="shared" si="19"/>
        <v>2406.3516756942727</v>
      </c>
      <c r="E120" s="5"/>
      <c r="F120" s="5"/>
      <c r="G120" s="5"/>
      <c r="H120" s="5"/>
      <c r="I120" s="5"/>
      <c r="J120" s="5"/>
      <c r="K120" s="5"/>
    </row>
    <row r="121" spans="1:11" x14ac:dyDescent="0.25">
      <c r="A121" s="5">
        <f t="shared" si="17"/>
        <v>4</v>
      </c>
      <c r="B121" s="5">
        <f t="shared" si="18"/>
        <v>0.1</v>
      </c>
      <c r="C121" s="5">
        <f t="shared" si="18"/>
        <v>250.71</v>
      </c>
      <c r="D121" s="5">
        <f t="shared" si="19"/>
        <v>2445.1758378471363</v>
      </c>
      <c r="E121" s="5"/>
      <c r="F121" s="5"/>
      <c r="G121" s="5"/>
      <c r="H121" s="5"/>
      <c r="I121" s="5"/>
      <c r="J121" s="5"/>
      <c r="K121" s="5"/>
    </row>
    <row r="122" spans="1:11" x14ac:dyDescent="0.25">
      <c r="A122" s="5">
        <f t="shared" si="17"/>
        <v>5</v>
      </c>
      <c r="B122" s="5">
        <f t="shared" si="18"/>
        <v>0.2</v>
      </c>
      <c r="C122" s="5">
        <f t="shared" si="18"/>
        <v>512.29999999999995</v>
      </c>
      <c r="D122" s="5">
        <f t="shared" si="19"/>
        <v>2530.5379189235678</v>
      </c>
      <c r="E122" s="5"/>
      <c r="F122" s="5"/>
      <c r="G122" s="5"/>
      <c r="H122" s="5"/>
      <c r="I122" s="5"/>
      <c r="J122" s="5"/>
      <c r="K122" s="5"/>
    </row>
    <row r="123" spans="1:11" x14ac:dyDescent="0.25">
      <c r="A123" s="5">
        <f t="shared" si="17"/>
        <v>6</v>
      </c>
      <c r="B123" s="5">
        <f t="shared" si="18"/>
        <v>0.5</v>
      </c>
      <c r="C123" s="5">
        <f t="shared" si="18"/>
        <v>1279.54</v>
      </c>
      <c r="D123" s="5">
        <f t="shared" si="19"/>
        <v>2546.6951675694272</v>
      </c>
      <c r="E123" s="5"/>
      <c r="F123" s="5"/>
      <c r="G123" s="5"/>
      <c r="H123" s="5"/>
      <c r="I123" s="5"/>
      <c r="J123" s="5"/>
      <c r="K123" s="5"/>
    </row>
    <row r="124" spans="1:11" x14ac:dyDescent="0.25">
      <c r="A124" s="5">
        <f t="shared" si="17"/>
        <v>7</v>
      </c>
      <c r="B124" s="5">
        <f t="shared" si="18"/>
        <v>1</v>
      </c>
      <c r="C124" s="5">
        <f t="shared" si="18"/>
        <v>2513.75</v>
      </c>
      <c r="D124" s="5">
        <f t="shared" si="19"/>
        <v>2507.5575837847136</v>
      </c>
      <c r="E124" s="5"/>
      <c r="F124" s="5"/>
      <c r="G124" s="5"/>
      <c r="H124" s="5"/>
      <c r="I124" s="5"/>
      <c r="J124" s="5"/>
      <c r="K124" s="5"/>
    </row>
    <row r="125" spans="1:11" x14ac:dyDescent="0.25">
      <c r="A125" s="5">
        <f t="shared" si="17"/>
        <v>8</v>
      </c>
      <c r="B125" s="5">
        <f t="shared" si="18"/>
        <v>2</v>
      </c>
      <c r="C125" s="5">
        <f t="shared" si="18"/>
        <v>5078.3900000000003</v>
      </c>
      <c r="D125" s="5">
        <f t="shared" si="19"/>
        <v>2536.098791892357</v>
      </c>
      <c r="E125" s="5"/>
      <c r="F125" s="5"/>
      <c r="G125" s="5"/>
      <c r="H125" s="5"/>
      <c r="I125" s="5"/>
      <c r="J125" s="5"/>
      <c r="K125" s="5"/>
    </row>
    <row r="126" spans="1:11" x14ac:dyDescent="0.25">
      <c r="A126" s="5">
        <f t="shared" si="17"/>
        <v>9</v>
      </c>
      <c r="B126" s="5">
        <f t="shared" si="18"/>
        <v>5</v>
      </c>
      <c r="C126" s="5">
        <f t="shared" si="18"/>
        <v>12747.17</v>
      </c>
      <c r="D126" s="5">
        <f t="shared" si="19"/>
        <v>2548.1955167569427</v>
      </c>
      <c r="E126" s="5"/>
      <c r="F126" s="5"/>
      <c r="G126" s="5"/>
      <c r="H126" s="5"/>
      <c r="I126" s="5"/>
      <c r="J126" s="5"/>
      <c r="K126" s="5"/>
    </row>
    <row r="127" spans="1:11" x14ac:dyDescent="0.25">
      <c r="A127" s="5">
        <f t="shared" si="17"/>
        <v>10</v>
      </c>
      <c r="B127" s="5">
        <f t="shared" si="18"/>
        <v>10</v>
      </c>
      <c r="C127" s="5">
        <f t="shared" si="18"/>
        <v>24724.14</v>
      </c>
      <c r="D127" s="5">
        <f t="shared" si="19"/>
        <v>2471.7947583784712</v>
      </c>
      <c r="E127" s="5"/>
      <c r="F127" s="5"/>
      <c r="G127" s="5"/>
      <c r="H127" s="5"/>
      <c r="I127" s="5"/>
      <c r="J127" s="5"/>
      <c r="K127" s="5"/>
    </row>
    <row r="128" spans="1:11" x14ac:dyDescent="0.25">
      <c r="A128" s="5">
        <f t="shared" si="17"/>
        <v>11</v>
      </c>
      <c r="B128" s="5">
        <f t="shared" si="18"/>
        <v>20</v>
      </c>
      <c r="C128" s="5">
        <f t="shared" si="18"/>
        <v>52998.47</v>
      </c>
      <c r="D128" s="5">
        <f t="shared" si="19"/>
        <v>2649.6138791892358</v>
      </c>
      <c r="E128" s="5"/>
      <c r="F128" s="5"/>
      <c r="G128" s="5"/>
      <c r="H128" s="5"/>
      <c r="I128" s="5"/>
      <c r="J128" s="5"/>
      <c r="K128" s="5"/>
    </row>
    <row r="129" spans="1:11" x14ac:dyDescent="0.25">
      <c r="A129" s="5">
        <f t="shared" si="17"/>
        <v>12</v>
      </c>
      <c r="B129" s="5">
        <f t="shared" si="18"/>
        <v>50</v>
      </c>
      <c r="C129" s="5">
        <f t="shared" si="18"/>
        <v>121039.76</v>
      </c>
      <c r="D129" s="5">
        <f t="shared" si="19"/>
        <v>2420.671351675694</v>
      </c>
      <c r="E129" s="5"/>
      <c r="F129" s="5"/>
      <c r="G129" s="5"/>
      <c r="H129" s="5"/>
      <c r="I129" s="5"/>
      <c r="J129" s="5"/>
      <c r="K129" s="5"/>
    </row>
    <row r="130" spans="1:11" x14ac:dyDescent="0.25">
      <c r="A130" s="5">
        <f t="shared" si="17"/>
        <v>13</v>
      </c>
      <c r="B130" s="5">
        <f t="shared" si="18"/>
        <v>100</v>
      </c>
      <c r="C130" s="5">
        <f t="shared" si="18"/>
        <v>228838.38</v>
      </c>
      <c r="D130" s="5">
        <f t="shared" si="19"/>
        <v>2288.3218758378471</v>
      </c>
      <c r="E130" s="5"/>
      <c r="F130" s="5"/>
      <c r="G130" s="5"/>
      <c r="H130" s="5"/>
      <c r="I130" s="5"/>
      <c r="J130" s="5"/>
      <c r="K130" s="5"/>
    </row>
    <row r="131" spans="1:11" x14ac:dyDescent="0.25">
      <c r="A131" s="5">
        <f t="shared" si="17"/>
        <v>14</v>
      </c>
      <c r="B131" s="5" t="e">
        <f t="shared" si="18"/>
        <v>#N/A</v>
      </c>
      <c r="C131" s="5" t="e">
        <f t="shared" si="18"/>
        <v>#N/A</v>
      </c>
      <c r="D131" s="5" t="e">
        <f t="shared" si="19"/>
        <v>#N/A</v>
      </c>
      <c r="E131" s="5"/>
      <c r="F131" s="5"/>
      <c r="G131" s="5"/>
      <c r="H131" s="5"/>
      <c r="I131" s="5"/>
      <c r="J131" s="5"/>
      <c r="K131" s="5"/>
    </row>
    <row r="132" spans="1:11" x14ac:dyDescent="0.25">
      <c r="A132" s="5">
        <f t="shared" si="17"/>
        <v>15</v>
      </c>
      <c r="B132" s="5" t="e">
        <f t="shared" si="18"/>
        <v>#N/A</v>
      </c>
      <c r="C132" s="5" t="e">
        <f t="shared" si="18"/>
        <v>#N/A</v>
      </c>
      <c r="D132" s="5" t="e">
        <f t="shared" si="19"/>
        <v>#N/A</v>
      </c>
      <c r="E132" s="5"/>
      <c r="F132" s="5"/>
      <c r="G132" s="5"/>
      <c r="H132" s="5"/>
      <c r="I132" s="5"/>
      <c r="J132" s="5"/>
      <c r="K132" s="5"/>
    </row>
    <row r="133" spans="1:11" x14ac:dyDescent="0.25">
      <c r="A133" s="5">
        <f t="shared" si="17"/>
        <v>16</v>
      </c>
      <c r="B133" s="5" t="e">
        <f t="shared" si="18"/>
        <v>#N/A</v>
      </c>
      <c r="C133" s="5" t="e">
        <f t="shared" si="18"/>
        <v>#N/A</v>
      </c>
      <c r="D133" s="5" t="e">
        <f t="shared" si="19"/>
        <v>#N/A</v>
      </c>
      <c r="E133" s="5"/>
      <c r="F133" s="5"/>
      <c r="G133" s="5"/>
      <c r="H133" s="5"/>
      <c r="I133" s="5"/>
      <c r="J133" s="5"/>
      <c r="K133" s="5"/>
    </row>
    <row r="134" spans="1:11" x14ac:dyDescent="0.25">
      <c r="A134" s="5">
        <f>A65</f>
        <v>17</v>
      </c>
      <c r="B134" s="5" t="e">
        <f t="shared" si="18"/>
        <v>#N/A</v>
      </c>
      <c r="C134" s="5" t="e">
        <f t="shared" si="18"/>
        <v>#N/A</v>
      </c>
      <c r="D134" s="5" t="e">
        <f t="shared" si="19"/>
        <v>#N/A</v>
      </c>
      <c r="E134" s="5"/>
      <c r="F134" s="5"/>
      <c r="G134" s="5"/>
      <c r="H134" s="5"/>
      <c r="I134" s="5"/>
      <c r="J134" s="5"/>
      <c r="K134" s="5"/>
    </row>
    <row r="135" spans="1:11" x14ac:dyDescent="0.25">
      <c r="A135" s="5">
        <f t="shared" si="17"/>
        <v>18</v>
      </c>
      <c r="B135" s="5" t="e">
        <f t="shared" si="18"/>
        <v>#N/A</v>
      </c>
      <c r="C135" s="5" t="e">
        <f t="shared" si="18"/>
        <v>#N/A</v>
      </c>
      <c r="D135" s="5" t="e">
        <f t="shared" si="19"/>
        <v>#N/A</v>
      </c>
      <c r="E135" s="5"/>
      <c r="F135" s="5"/>
      <c r="G135" s="5"/>
      <c r="H135" s="5"/>
      <c r="I135" s="5"/>
      <c r="J135" s="5"/>
      <c r="K135" s="5"/>
    </row>
    <row r="136" spans="1:11" x14ac:dyDescent="0.25">
      <c r="A136" s="5">
        <f t="shared" si="17"/>
        <v>19</v>
      </c>
      <c r="B136" s="5" t="e">
        <f t="shared" si="18"/>
        <v>#N/A</v>
      </c>
      <c r="C136" s="5" t="e">
        <f t="shared" si="18"/>
        <v>#N/A</v>
      </c>
      <c r="D136" s="5" t="e">
        <f t="shared" si="19"/>
        <v>#N/A</v>
      </c>
      <c r="E136" s="5"/>
      <c r="F136" s="5"/>
      <c r="G136" s="5"/>
      <c r="H136" s="5"/>
      <c r="I136" s="5"/>
      <c r="J136" s="5"/>
      <c r="K136" s="5"/>
    </row>
    <row r="137" spans="1:11" x14ac:dyDescent="0.25">
      <c r="A137" s="5">
        <f t="shared" si="17"/>
        <v>20</v>
      </c>
      <c r="B137" s="5" t="e">
        <f t="shared" si="18"/>
        <v>#N/A</v>
      </c>
      <c r="C137" s="5" t="e">
        <f t="shared" si="18"/>
        <v>#N/A</v>
      </c>
      <c r="D137" s="5" t="e">
        <f t="shared" si="19"/>
        <v>#N/A</v>
      </c>
      <c r="E137" s="5"/>
      <c r="F137" s="5"/>
      <c r="G137" s="5"/>
      <c r="H137" s="5"/>
      <c r="I137" s="5"/>
      <c r="J137" s="5"/>
      <c r="K137" s="5"/>
    </row>
    <row r="138" spans="1:1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x14ac:dyDescent="0.25">
      <c r="A139" s="5" t="s">
        <v>57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 x14ac:dyDescent="0.25">
      <c r="A140" s="5" t="s">
        <v>58</v>
      </c>
      <c r="B140" s="5">
        <f>MEDIAN(C144:C163)</f>
        <v>2530.1999999999998</v>
      </c>
      <c r="C140" s="5"/>
      <c r="D140" s="5"/>
      <c r="E140" s="5"/>
      <c r="F140" s="5"/>
      <c r="G140" s="5"/>
      <c r="H140" s="5"/>
      <c r="I140" s="5"/>
      <c r="J140" s="5"/>
      <c r="K140" s="5"/>
    </row>
    <row r="141" spans="1:11" ht="18" x14ac:dyDescent="0.35">
      <c r="A141" s="5" t="s">
        <v>50</v>
      </c>
      <c r="B141" s="5">
        <f>B140*(1-E9)</f>
        <v>2277.1799999999998</v>
      </c>
      <c r="C141" s="5"/>
      <c r="D141" s="5"/>
      <c r="E141" s="5"/>
      <c r="F141" s="5"/>
      <c r="G141" s="5"/>
      <c r="H141" s="5"/>
      <c r="I141" s="5"/>
      <c r="J141" s="5"/>
      <c r="K141" s="5"/>
    </row>
    <row r="142" spans="1:11" ht="18" x14ac:dyDescent="0.35">
      <c r="A142" s="5" t="s">
        <v>51</v>
      </c>
      <c r="B142" s="5">
        <f>B140*(1+E9)</f>
        <v>2783.22</v>
      </c>
      <c r="C142" s="5"/>
      <c r="D142" s="5"/>
      <c r="E142" s="5"/>
      <c r="F142" s="5"/>
      <c r="G142" s="5"/>
      <c r="H142" s="5"/>
      <c r="I142" s="5"/>
      <c r="J142" s="5"/>
      <c r="K142" s="5"/>
    </row>
    <row r="143" spans="1:11" x14ac:dyDescent="0.25">
      <c r="A143" s="7" t="str">
        <f>A48</f>
        <v>lfd. Nr.</v>
      </c>
      <c r="B143" s="7" t="s">
        <v>39</v>
      </c>
      <c r="C143" s="7" t="s">
        <v>49</v>
      </c>
      <c r="D143" s="5"/>
      <c r="E143" s="5"/>
      <c r="F143" s="5"/>
      <c r="G143" s="5"/>
      <c r="H143" s="5"/>
      <c r="I143" s="5"/>
      <c r="J143" s="5"/>
      <c r="K143" s="5"/>
    </row>
    <row r="144" spans="1:11" x14ac:dyDescent="0.25">
      <c r="A144" s="5">
        <f t="shared" ref="A144:A162" si="20">A49</f>
        <v>1</v>
      </c>
      <c r="B144" s="5">
        <f t="shared" ref="B144:B163" si="21">IF(B16&lt;&gt;"",B16,"")</f>
        <v>0.01</v>
      </c>
      <c r="C144" s="5">
        <f t="shared" ref="C144:C163" si="22">IF(B16&lt;&gt;"",C16/B16,"")</f>
        <v>2417</v>
      </c>
      <c r="D144" s="5"/>
      <c r="E144" s="5"/>
      <c r="F144" s="5"/>
      <c r="G144" s="5"/>
      <c r="H144" s="5"/>
      <c r="I144" s="5"/>
      <c r="J144" s="5"/>
      <c r="K144" s="5"/>
    </row>
    <row r="145" spans="1:11" x14ac:dyDescent="0.25">
      <c r="A145" s="5">
        <f t="shared" si="20"/>
        <v>2</v>
      </c>
      <c r="B145" s="5">
        <f t="shared" si="21"/>
        <v>0.02</v>
      </c>
      <c r="C145" s="5">
        <f t="shared" si="22"/>
        <v>2564</v>
      </c>
      <c r="D145" s="5"/>
      <c r="E145" s="5"/>
      <c r="F145" s="5"/>
      <c r="G145" s="5"/>
      <c r="H145" s="5"/>
      <c r="I145" s="5"/>
      <c r="J145" s="5"/>
      <c r="K145" s="5"/>
    </row>
    <row r="146" spans="1:11" x14ac:dyDescent="0.25">
      <c r="A146" s="5">
        <f t="shared" si="20"/>
        <v>3</v>
      </c>
      <c r="B146" s="5">
        <f t="shared" si="21"/>
        <v>0.05</v>
      </c>
      <c r="C146" s="5">
        <f t="shared" si="22"/>
        <v>2530.1999999999998</v>
      </c>
      <c r="D146" s="5"/>
      <c r="E146" s="5"/>
      <c r="F146" s="5"/>
      <c r="G146" s="5"/>
      <c r="H146" s="5"/>
      <c r="I146" s="5"/>
      <c r="J146" s="5"/>
      <c r="K146" s="5"/>
    </row>
    <row r="147" spans="1:11" x14ac:dyDescent="0.25">
      <c r="A147" s="5">
        <f t="shared" si="20"/>
        <v>4</v>
      </c>
      <c r="B147" s="5">
        <f t="shared" si="21"/>
        <v>0.1</v>
      </c>
      <c r="C147" s="5">
        <f t="shared" si="22"/>
        <v>2507.1</v>
      </c>
      <c r="D147" s="5"/>
      <c r="E147" s="5"/>
      <c r="F147" s="5"/>
      <c r="G147" s="5"/>
      <c r="H147" s="5"/>
      <c r="I147" s="5"/>
      <c r="J147" s="5"/>
      <c r="K147" s="5"/>
    </row>
    <row r="148" spans="1:11" x14ac:dyDescent="0.25">
      <c r="A148" s="5">
        <f t="shared" si="20"/>
        <v>5</v>
      </c>
      <c r="B148" s="5">
        <f t="shared" si="21"/>
        <v>0.2</v>
      </c>
      <c r="C148" s="5">
        <f t="shared" si="22"/>
        <v>2561.4999999999995</v>
      </c>
      <c r="D148" s="5"/>
      <c r="E148" s="5"/>
      <c r="F148" s="5"/>
      <c r="G148" s="5"/>
      <c r="H148" s="5"/>
      <c r="I148" s="5"/>
      <c r="J148" s="5"/>
      <c r="K148" s="5"/>
    </row>
    <row r="149" spans="1:11" x14ac:dyDescent="0.25">
      <c r="A149" s="5">
        <f t="shared" si="20"/>
        <v>6</v>
      </c>
      <c r="B149" s="5">
        <f t="shared" si="21"/>
        <v>0.5</v>
      </c>
      <c r="C149" s="5">
        <f t="shared" si="22"/>
        <v>2559.08</v>
      </c>
      <c r="D149" s="5"/>
      <c r="E149" s="5"/>
      <c r="F149" s="5"/>
      <c r="G149" s="5"/>
      <c r="H149" s="5"/>
      <c r="I149" s="5"/>
      <c r="J149" s="5"/>
      <c r="K149" s="5"/>
    </row>
    <row r="150" spans="1:11" x14ac:dyDescent="0.25">
      <c r="A150" s="5">
        <f t="shared" si="20"/>
        <v>7</v>
      </c>
      <c r="B150" s="5">
        <f t="shared" si="21"/>
        <v>1</v>
      </c>
      <c r="C150" s="5">
        <f t="shared" si="22"/>
        <v>2513.75</v>
      </c>
      <c r="D150" s="5"/>
      <c r="E150" s="5"/>
      <c r="F150" s="5"/>
      <c r="G150" s="5"/>
      <c r="H150" s="5"/>
      <c r="I150" s="5"/>
      <c r="J150" s="5"/>
      <c r="K150" s="5"/>
    </row>
    <row r="151" spans="1:11" x14ac:dyDescent="0.25">
      <c r="A151" s="5">
        <f t="shared" si="20"/>
        <v>8</v>
      </c>
      <c r="B151" s="5">
        <f t="shared" si="21"/>
        <v>2</v>
      </c>
      <c r="C151" s="5">
        <f t="shared" si="22"/>
        <v>2539.1950000000002</v>
      </c>
      <c r="D151" s="5"/>
      <c r="E151" s="5"/>
      <c r="F151" s="5"/>
      <c r="G151" s="5"/>
      <c r="H151" s="5"/>
      <c r="I151" s="5"/>
      <c r="J151" s="5"/>
      <c r="K151" s="5"/>
    </row>
    <row r="152" spans="1:11" x14ac:dyDescent="0.25">
      <c r="A152" s="5">
        <f t="shared" si="20"/>
        <v>9</v>
      </c>
      <c r="B152" s="5">
        <f t="shared" si="21"/>
        <v>5</v>
      </c>
      <c r="C152" s="5">
        <f t="shared" si="22"/>
        <v>2549.4340000000002</v>
      </c>
      <c r="D152" s="5"/>
      <c r="E152" s="5"/>
      <c r="F152" s="5"/>
      <c r="G152" s="5"/>
      <c r="H152" s="5"/>
      <c r="I152" s="5"/>
      <c r="J152" s="5"/>
      <c r="K152" s="5"/>
    </row>
    <row r="153" spans="1:11" x14ac:dyDescent="0.25">
      <c r="A153" s="5">
        <f t="shared" si="20"/>
        <v>10</v>
      </c>
      <c r="B153" s="5">
        <f t="shared" si="21"/>
        <v>10</v>
      </c>
      <c r="C153" s="5">
        <f t="shared" si="22"/>
        <v>2472.4139999999998</v>
      </c>
      <c r="D153" s="5"/>
      <c r="E153" s="5"/>
      <c r="F153" s="5"/>
      <c r="G153" s="5"/>
      <c r="H153" s="5"/>
      <c r="I153" s="5"/>
      <c r="J153" s="5"/>
      <c r="K153" s="5"/>
    </row>
    <row r="154" spans="1:11" x14ac:dyDescent="0.25">
      <c r="A154" s="5">
        <f t="shared" si="20"/>
        <v>11</v>
      </c>
      <c r="B154" s="5">
        <f t="shared" si="21"/>
        <v>20</v>
      </c>
      <c r="C154" s="5">
        <f t="shared" si="22"/>
        <v>2649.9234999999999</v>
      </c>
      <c r="D154" s="5"/>
      <c r="E154" s="5"/>
      <c r="F154" s="5"/>
      <c r="G154" s="5"/>
      <c r="H154" s="5"/>
      <c r="I154" s="5"/>
      <c r="J154" s="5"/>
      <c r="K154" s="5"/>
    </row>
    <row r="155" spans="1:11" x14ac:dyDescent="0.25">
      <c r="A155" s="5">
        <f t="shared" si="20"/>
        <v>12</v>
      </c>
      <c r="B155" s="5">
        <f t="shared" si="21"/>
        <v>50</v>
      </c>
      <c r="C155" s="5">
        <f t="shared" si="22"/>
        <v>2420.7952</v>
      </c>
      <c r="D155" s="5"/>
      <c r="E155" s="5"/>
      <c r="F155" s="5"/>
      <c r="G155" s="5"/>
      <c r="H155" s="5"/>
      <c r="I155" s="5"/>
      <c r="J155" s="5"/>
      <c r="K155" s="5"/>
    </row>
    <row r="156" spans="1:11" x14ac:dyDescent="0.25">
      <c r="A156" s="5">
        <f t="shared" si="20"/>
        <v>13</v>
      </c>
      <c r="B156" s="5">
        <f t="shared" si="21"/>
        <v>100</v>
      </c>
      <c r="C156" s="5">
        <f t="shared" si="22"/>
        <v>2288.3838000000001</v>
      </c>
      <c r="D156" s="5"/>
      <c r="E156" s="5"/>
      <c r="F156" s="5"/>
      <c r="G156" s="5"/>
      <c r="H156" s="5"/>
      <c r="I156" s="5"/>
      <c r="J156" s="5"/>
      <c r="K156" s="5"/>
    </row>
    <row r="157" spans="1:11" x14ac:dyDescent="0.25">
      <c r="A157" s="5">
        <f t="shared" si="20"/>
        <v>14</v>
      </c>
      <c r="B157" s="5" t="str">
        <f t="shared" si="21"/>
        <v/>
      </c>
      <c r="C157" s="5" t="str">
        <f t="shared" si="22"/>
        <v/>
      </c>
      <c r="D157" s="5"/>
      <c r="E157" s="5"/>
      <c r="F157" s="5"/>
      <c r="G157" s="5"/>
      <c r="H157" s="5"/>
      <c r="I157" s="5"/>
      <c r="J157" s="5"/>
      <c r="K157" s="5"/>
    </row>
    <row r="158" spans="1:11" x14ac:dyDescent="0.25">
      <c r="A158" s="5">
        <f t="shared" si="20"/>
        <v>15</v>
      </c>
      <c r="B158" s="5" t="str">
        <f t="shared" si="21"/>
        <v/>
      </c>
      <c r="C158" s="5" t="str">
        <f t="shared" si="22"/>
        <v/>
      </c>
      <c r="D158" s="5"/>
      <c r="E158" s="5"/>
      <c r="F158" s="5"/>
      <c r="G158" s="5"/>
      <c r="H158" s="5"/>
      <c r="I158" s="5"/>
      <c r="J158" s="5"/>
      <c r="K158" s="5"/>
    </row>
    <row r="159" spans="1:11" x14ac:dyDescent="0.25">
      <c r="A159" s="5">
        <f t="shared" si="20"/>
        <v>16</v>
      </c>
      <c r="B159" s="5" t="str">
        <f t="shared" si="21"/>
        <v/>
      </c>
      <c r="C159" s="5" t="str">
        <f t="shared" si="22"/>
        <v/>
      </c>
      <c r="D159" s="5"/>
      <c r="E159" s="5"/>
      <c r="F159" s="5"/>
      <c r="G159" s="5"/>
      <c r="H159" s="5"/>
      <c r="I159" s="5"/>
      <c r="J159" s="5"/>
      <c r="K159" s="5"/>
    </row>
    <row r="160" spans="1:11" x14ac:dyDescent="0.25">
      <c r="A160" s="5">
        <f t="shared" si="20"/>
        <v>17</v>
      </c>
      <c r="B160" s="5" t="str">
        <f t="shared" si="21"/>
        <v/>
      </c>
      <c r="C160" s="5" t="str">
        <f t="shared" si="22"/>
        <v/>
      </c>
      <c r="D160" s="5"/>
      <c r="E160" s="5"/>
      <c r="F160" s="5"/>
      <c r="G160" s="5"/>
      <c r="H160" s="5"/>
      <c r="I160" s="5"/>
      <c r="J160" s="5"/>
      <c r="K160" s="5"/>
    </row>
    <row r="161" spans="1:11" x14ac:dyDescent="0.25">
      <c r="A161" s="5">
        <f t="shared" si="20"/>
        <v>18</v>
      </c>
      <c r="B161" s="5" t="str">
        <f t="shared" si="21"/>
        <v/>
      </c>
      <c r="C161" s="5" t="str">
        <f t="shared" si="22"/>
        <v/>
      </c>
      <c r="D161" s="5"/>
      <c r="E161" s="5"/>
      <c r="F161" s="5"/>
      <c r="G161" s="5"/>
      <c r="H161" s="5"/>
      <c r="I161" s="5"/>
      <c r="J161" s="5"/>
      <c r="K161" s="5"/>
    </row>
    <row r="162" spans="1:11" x14ac:dyDescent="0.25">
      <c r="A162" s="5">
        <f t="shared" si="20"/>
        <v>19</v>
      </c>
      <c r="B162" s="5" t="str">
        <f t="shared" si="21"/>
        <v/>
      </c>
      <c r="C162" s="5" t="str">
        <f t="shared" si="22"/>
        <v/>
      </c>
      <c r="D162" s="5"/>
      <c r="E162" s="5"/>
      <c r="F162" s="5"/>
      <c r="G162" s="5"/>
      <c r="H162" s="5"/>
      <c r="I162" s="5"/>
      <c r="J162" s="5"/>
      <c r="K162" s="5"/>
    </row>
    <row r="163" spans="1:11" x14ac:dyDescent="0.25">
      <c r="A163" s="5">
        <f>A68</f>
        <v>20</v>
      </c>
      <c r="B163" s="5" t="str">
        <f t="shared" si="21"/>
        <v/>
      </c>
      <c r="C163" s="5" t="str">
        <f t="shared" si="22"/>
        <v/>
      </c>
      <c r="D163" s="5"/>
      <c r="E163" s="5"/>
      <c r="F163" s="5"/>
      <c r="G163" s="5"/>
      <c r="H163" s="5"/>
      <c r="I163" s="5"/>
      <c r="J163" s="5"/>
      <c r="K163" s="5"/>
    </row>
    <row r="164" spans="1:1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</row>
  </sheetData>
  <mergeCells count="18">
    <mergeCell ref="E10:G10"/>
    <mergeCell ref="E11:G11"/>
    <mergeCell ref="B4:D4"/>
    <mergeCell ref="B5:D5"/>
    <mergeCell ref="B6:D6"/>
    <mergeCell ref="B7:D7"/>
    <mergeCell ref="B8:D8"/>
    <mergeCell ref="B10:D10"/>
    <mergeCell ref="E4:G4"/>
    <mergeCell ref="E5:G5"/>
    <mergeCell ref="E6:G6"/>
    <mergeCell ref="E7:G7"/>
    <mergeCell ref="E8:G8"/>
    <mergeCell ref="E12:G12"/>
    <mergeCell ref="E13:G13"/>
    <mergeCell ref="B11:D11"/>
    <mergeCell ref="B12:D12"/>
    <mergeCell ref="B13:D13"/>
  </mergeCells>
  <pageMargins left="0.7" right="0.7" top="0.78740157499999996" bottom="0.78740157499999996" header="0.3" footer="0.3"/>
  <pageSetup paperSize="9" fitToHeight="0" orientation="landscape" horizontalDpi="4294967295" verticalDpi="4294967295" r:id="rId1"/>
  <rowBreaks count="2" manualBreakCount="2">
    <brk id="82" max="16383" man="1"/>
    <brk id="1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2"/>
  <sheetViews>
    <sheetView workbookViewId="0">
      <selection activeCell="G20" sqref="G20:H29"/>
    </sheetView>
  </sheetViews>
  <sheetFormatPr baseColWidth="10" defaultRowHeight="15" x14ac:dyDescent="0.25"/>
  <cols>
    <col min="3" max="3" width="2.85546875" customWidth="1"/>
    <col min="4" max="4" width="15.42578125" bestFit="1" customWidth="1"/>
    <col min="6" max="6" width="2.85546875" customWidth="1"/>
    <col min="9" max="9" width="2.85546875" customWidth="1"/>
    <col min="12" max="12" width="2.85546875" customWidth="1"/>
    <col min="13" max="13" width="25" bestFit="1" customWidth="1"/>
    <col min="15" max="15" width="2.85546875" customWidth="1"/>
  </cols>
  <sheetData>
    <row r="2" spans="1:17" x14ac:dyDescent="0.25">
      <c r="A2" t="s">
        <v>23</v>
      </c>
      <c r="D2" t="s">
        <v>26</v>
      </c>
      <c r="G2" t="s">
        <v>28</v>
      </c>
      <c r="J2" t="s">
        <v>32</v>
      </c>
      <c r="M2" t="s">
        <v>33</v>
      </c>
      <c r="P2" t="s">
        <v>36</v>
      </c>
    </row>
    <row r="3" spans="1:17" x14ac:dyDescent="0.25">
      <c r="A3" t="s">
        <v>24</v>
      </c>
      <c r="B3" t="s">
        <v>25</v>
      </c>
      <c r="D3" t="s">
        <v>27</v>
      </c>
      <c r="E3" t="s">
        <v>25</v>
      </c>
      <c r="G3" t="s">
        <v>29</v>
      </c>
      <c r="H3" t="s">
        <v>30</v>
      </c>
      <c r="J3" t="s">
        <v>31</v>
      </c>
      <c r="K3" t="s">
        <v>30</v>
      </c>
      <c r="M3" t="s">
        <v>34</v>
      </c>
      <c r="N3" t="s">
        <v>35</v>
      </c>
      <c r="P3" t="s">
        <v>37</v>
      </c>
      <c r="Q3" t="s">
        <v>35</v>
      </c>
    </row>
    <row r="4" spans="1:17" x14ac:dyDescent="0.25">
      <c r="A4">
        <v>0.66</v>
      </c>
      <c r="B4">
        <v>3.7000000000000002E-3</v>
      </c>
      <c r="D4">
        <v>13.21</v>
      </c>
      <c r="E4">
        <v>9.9000000000000008E-3</v>
      </c>
      <c r="G4">
        <v>0.01</v>
      </c>
      <c r="H4">
        <v>413</v>
      </c>
      <c r="J4">
        <v>0.01</v>
      </c>
      <c r="K4">
        <v>24.17</v>
      </c>
      <c r="M4">
        <v>2.5000000000000001E-2</v>
      </c>
      <c r="N4">
        <v>31361</v>
      </c>
      <c r="P4">
        <v>2.5000000000000001E-2</v>
      </c>
      <c r="Q4">
        <v>165109</v>
      </c>
    </row>
    <row r="5" spans="1:17" x14ac:dyDescent="0.25">
      <c r="A5">
        <v>1.32</v>
      </c>
      <c r="B5">
        <v>8.3999999999999995E-3</v>
      </c>
      <c r="D5">
        <v>26.39</v>
      </c>
      <c r="E5">
        <v>2.1600000000000001E-2</v>
      </c>
      <c r="G5">
        <v>0.02</v>
      </c>
      <c r="H5">
        <v>830</v>
      </c>
      <c r="J5">
        <v>0.02</v>
      </c>
      <c r="K5">
        <v>51.28</v>
      </c>
      <c r="M5">
        <v>0.05</v>
      </c>
      <c r="N5">
        <v>57714</v>
      </c>
      <c r="P5">
        <v>0.05</v>
      </c>
      <c r="Q5">
        <v>351092</v>
      </c>
    </row>
    <row r="6" spans="1:17" x14ac:dyDescent="0.25">
      <c r="A6">
        <v>2.64</v>
      </c>
      <c r="B6">
        <v>1.8100000000000002E-2</v>
      </c>
      <c r="D6">
        <v>52.78</v>
      </c>
      <c r="E6">
        <v>4.0099999999999997E-2</v>
      </c>
      <c r="G6">
        <v>0.05</v>
      </c>
      <c r="H6">
        <v>2059</v>
      </c>
      <c r="J6">
        <v>0.05</v>
      </c>
      <c r="K6">
        <v>126.51</v>
      </c>
      <c r="M6">
        <v>7.4999999999999997E-2</v>
      </c>
      <c r="N6">
        <v>67445</v>
      </c>
      <c r="P6">
        <v>7.4999999999999997E-2</v>
      </c>
      <c r="Q6">
        <v>519665</v>
      </c>
    </row>
    <row r="7" spans="1:17" x14ac:dyDescent="0.25">
      <c r="A7">
        <v>5.26</v>
      </c>
      <c r="B7">
        <v>3.6499999999999998E-2</v>
      </c>
      <c r="D7">
        <v>105.24</v>
      </c>
      <c r="E7">
        <v>8.1000000000000003E-2</v>
      </c>
      <c r="G7">
        <v>0.1</v>
      </c>
      <c r="H7">
        <v>3998</v>
      </c>
      <c r="J7">
        <v>0.1</v>
      </c>
      <c r="K7">
        <v>250.71</v>
      </c>
      <c r="M7">
        <v>0.1</v>
      </c>
      <c r="N7">
        <v>99435</v>
      </c>
      <c r="P7">
        <v>0.1</v>
      </c>
      <c r="Q7">
        <v>629193</v>
      </c>
    </row>
    <row r="8" spans="1:17" x14ac:dyDescent="0.25">
      <c r="A8">
        <v>6.58</v>
      </c>
      <c r="B8">
        <v>4.5900000000000003E-2</v>
      </c>
      <c r="D8">
        <v>131.63</v>
      </c>
      <c r="E8">
        <v>0.1013</v>
      </c>
      <c r="G8">
        <v>0.2</v>
      </c>
      <c r="H8">
        <v>8385</v>
      </c>
      <c r="J8">
        <v>0.2</v>
      </c>
      <c r="K8">
        <v>512.29999999999995</v>
      </c>
      <c r="M8">
        <v>0.2</v>
      </c>
      <c r="N8">
        <v>204791</v>
      </c>
      <c r="P8">
        <v>0.125</v>
      </c>
      <c r="Q8">
        <v>942439</v>
      </c>
    </row>
    <row r="9" spans="1:17" x14ac:dyDescent="0.25">
      <c r="A9">
        <v>7.9</v>
      </c>
      <c r="B9">
        <v>5.5399999999999998E-2</v>
      </c>
      <c r="D9">
        <v>158</v>
      </c>
      <c r="E9">
        <v>0.1207</v>
      </c>
      <c r="G9">
        <v>0.5</v>
      </c>
      <c r="H9">
        <v>20844</v>
      </c>
      <c r="J9">
        <v>0.5</v>
      </c>
      <c r="K9">
        <v>1279.54</v>
      </c>
      <c r="M9">
        <v>0.3</v>
      </c>
      <c r="N9">
        <v>327017</v>
      </c>
      <c r="P9">
        <v>0.15</v>
      </c>
      <c r="Q9">
        <v>1002981</v>
      </c>
    </row>
    <row r="10" spans="1:17" x14ac:dyDescent="0.25">
      <c r="A10">
        <v>10.6</v>
      </c>
      <c r="B10">
        <v>7.5200000000000003E-2</v>
      </c>
      <c r="D10">
        <v>212.08</v>
      </c>
      <c r="E10">
        <v>0.15290000000000001</v>
      </c>
      <c r="G10">
        <v>1</v>
      </c>
      <c r="H10">
        <v>40731</v>
      </c>
      <c r="J10">
        <v>1</v>
      </c>
      <c r="K10">
        <v>2513.75</v>
      </c>
      <c r="M10">
        <v>0.4</v>
      </c>
      <c r="N10">
        <v>417441</v>
      </c>
      <c r="P10">
        <v>0.17499999999999999</v>
      </c>
      <c r="Q10">
        <v>1147095</v>
      </c>
    </row>
    <row r="11" spans="1:17" x14ac:dyDescent="0.25">
      <c r="A11">
        <v>26</v>
      </c>
      <c r="B11">
        <v>0.1885</v>
      </c>
      <c r="D11">
        <v>520</v>
      </c>
      <c r="E11">
        <v>0.39250000000000002</v>
      </c>
      <c r="G11">
        <v>2</v>
      </c>
      <c r="H11">
        <v>82676</v>
      </c>
      <c r="J11">
        <v>2</v>
      </c>
      <c r="K11">
        <v>5078.3900000000003</v>
      </c>
      <c r="M11">
        <v>0.5</v>
      </c>
      <c r="N11">
        <v>498644</v>
      </c>
      <c r="P11">
        <v>0.2</v>
      </c>
      <c r="Q11">
        <v>1414395</v>
      </c>
    </row>
    <row r="12" spans="1:17" x14ac:dyDescent="0.25">
      <c r="A12">
        <v>44.71</v>
      </c>
      <c r="B12">
        <v>0.33389999999999997</v>
      </c>
      <c r="D12">
        <v>894.14</v>
      </c>
      <c r="E12">
        <v>0.68930000000000002</v>
      </c>
      <c r="G12">
        <v>5</v>
      </c>
      <c r="H12">
        <v>209339</v>
      </c>
      <c r="J12">
        <v>5</v>
      </c>
      <c r="K12">
        <v>12747.17</v>
      </c>
      <c r="M12">
        <v>0.75</v>
      </c>
      <c r="N12">
        <v>763657</v>
      </c>
      <c r="P12">
        <v>0.22500000000000001</v>
      </c>
      <c r="Q12">
        <v>1378389</v>
      </c>
    </row>
    <row r="13" spans="1:17" x14ac:dyDescent="0.25">
      <c r="A13">
        <v>63.19</v>
      </c>
      <c r="B13">
        <v>0.4884</v>
      </c>
      <c r="D13">
        <v>1263.75</v>
      </c>
      <c r="E13">
        <v>0.96389999999999998</v>
      </c>
      <c r="G13">
        <v>10</v>
      </c>
      <c r="H13">
        <v>410903</v>
      </c>
      <c r="J13">
        <v>10</v>
      </c>
      <c r="K13">
        <v>24724.14</v>
      </c>
      <c r="M13">
        <v>1</v>
      </c>
      <c r="N13">
        <v>1010865</v>
      </c>
      <c r="P13">
        <v>0.25</v>
      </c>
      <c r="Q13">
        <v>1652356</v>
      </c>
    </row>
    <row r="14" spans="1:17" x14ac:dyDescent="0.25">
      <c r="A14">
        <v>82.18</v>
      </c>
      <c r="B14">
        <v>0.65949999999999998</v>
      </c>
      <c r="D14">
        <v>1643.67</v>
      </c>
      <c r="E14">
        <v>1.264</v>
      </c>
      <c r="G14">
        <v>20</v>
      </c>
      <c r="H14">
        <v>886368</v>
      </c>
      <c r="J14">
        <v>20</v>
      </c>
      <c r="K14">
        <v>52998.47</v>
      </c>
      <c r="M14">
        <v>2</v>
      </c>
      <c r="N14">
        <v>1966613</v>
      </c>
      <c r="P14">
        <v>0.5</v>
      </c>
      <c r="Q14">
        <v>3105418</v>
      </c>
    </row>
    <row r="15" spans="1:17" x14ac:dyDescent="0.25">
      <c r="A15">
        <v>100</v>
      </c>
      <c r="B15">
        <v>0.83830000000000005</v>
      </c>
      <c r="D15">
        <v>2000</v>
      </c>
      <c r="E15">
        <v>1.5409999999999999</v>
      </c>
      <c r="G15">
        <v>50</v>
      </c>
      <c r="H15">
        <v>2063882</v>
      </c>
      <c r="J15">
        <v>50</v>
      </c>
      <c r="K15">
        <v>121039.76</v>
      </c>
      <c r="M15">
        <v>3</v>
      </c>
      <c r="N15">
        <v>3016349</v>
      </c>
      <c r="P15">
        <v>1</v>
      </c>
      <c r="Q15">
        <v>5814548</v>
      </c>
    </row>
    <row r="16" spans="1:17" x14ac:dyDescent="0.25">
      <c r="G16">
        <v>100</v>
      </c>
      <c r="H16">
        <v>4071243</v>
      </c>
      <c r="J16">
        <v>100</v>
      </c>
      <c r="K16">
        <v>228838.38</v>
      </c>
      <c r="M16">
        <v>5</v>
      </c>
      <c r="N16">
        <v>4674102</v>
      </c>
    </row>
    <row r="18" spans="1:8" x14ac:dyDescent="0.25">
      <c r="A18" t="s">
        <v>77</v>
      </c>
      <c r="D18" t="s">
        <v>78</v>
      </c>
      <c r="G18" t="s">
        <v>80</v>
      </c>
    </row>
    <row r="19" spans="1:8" x14ac:dyDescent="0.25">
      <c r="A19" t="s">
        <v>31</v>
      </c>
      <c r="B19" t="s">
        <v>30</v>
      </c>
      <c r="D19" t="s">
        <v>79</v>
      </c>
      <c r="E19" t="s">
        <v>35</v>
      </c>
      <c r="G19" t="s">
        <v>81</v>
      </c>
      <c r="H19" t="s">
        <v>25</v>
      </c>
    </row>
    <row r="20" spans="1:8" x14ac:dyDescent="0.25">
      <c r="A20">
        <v>0.01</v>
      </c>
      <c r="B20">
        <v>24.17</v>
      </c>
      <c r="D20">
        <v>0.5</v>
      </c>
      <c r="E20">
        <v>21</v>
      </c>
      <c r="G20">
        <v>2</v>
      </c>
      <c r="H20">
        <v>0.20200000000000001</v>
      </c>
    </row>
    <row r="21" spans="1:8" x14ac:dyDescent="0.25">
      <c r="A21">
        <v>0.02</v>
      </c>
      <c r="B21">
        <v>51.28</v>
      </c>
      <c r="D21">
        <v>1</v>
      </c>
      <c r="E21">
        <v>41.5</v>
      </c>
      <c r="G21">
        <v>4</v>
      </c>
      <c r="H21">
        <v>0.39900000000000002</v>
      </c>
    </row>
    <row r="22" spans="1:8" x14ac:dyDescent="0.25">
      <c r="A22">
        <v>0.05</v>
      </c>
      <c r="B22">
        <v>126.51</v>
      </c>
      <c r="D22">
        <v>1.5</v>
      </c>
      <c r="E22">
        <v>61</v>
      </c>
      <c r="G22">
        <v>6</v>
      </c>
      <c r="H22">
        <v>0.58799999999999997</v>
      </c>
    </row>
    <row r="23" spans="1:8" x14ac:dyDescent="0.25">
      <c r="A23">
        <v>0.1</v>
      </c>
      <c r="B23">
        <v>250.71</v>
      </c>
      <c r="D23">
        <v>2</v>
      </c>
      <c r="E23">
        <v>80.900000000000006</v>
      </c>
      <c r="G23">
        <v>8</v>
      </c>
      <c r="H23">
        <v>0.79600000000000004</v>
      </c>
    </row>
    <row r="24" spans="1:8" x14ac:dyDescent="0.25">
      <c r="A24">
        <v>0.2</v>
      </c>
      <c r="B24">
        <v>512.29999999999995</v>
      </c>
      <c r="D24">
        <v>2.5</v>
      </c>
      <c r="E24">
        <v>102</v>
      </c>
      <c r="G24">
        <v>10</v>
      </c>
      <c r="H24">
        <v>0.997</v>
      </c>
    </row>
    <row r="25" spans="1:8" x14ac:dyDescent="0.25">
      <c r="A25">
        <v>0.5</v>
      </c>
      <c r="B25">
        <v>1279.54</v>
      </c>
      <c r="D25">
        <v>3</v>
      </c>
      <c r="E25">
        <v>123</v>
      </c>
      <c r="G25">
        <v>12</v>
      </c>
      <c r="H25">
        <v>1.1739999999999999</v>
      </c>
    </row>
    <row r="26" spans="1:8" x14ac:dyDescent="0.25">
      <c r="A26">
        <v>1</v>
      </c>
      <c r="B26">
        <v>2513.75</v>
      </c>
      <c r="D26">
        <v>3.5</v>
      </c>
      <c r="E26">
        <v>145</v>
      </c>
      <c r="G26">
        <v>14</v>
      </c>
      <c r="H26">
        <v>1.377</v>
      </c>
    </row>
    <row r="27" spans="1:8" x14ac:dyDescent="0.25">
      <c r="A27">
        <v>2</v>
      </c>
      <c r="B27">
        <v>5078.3900000000003</v>
      </c>
      <c r="D27">
        <v>4</v>
      </c>
      <c r="E27">
        <v>165</v>
      </c>
      <c r="G27">
        <v>16</v>
      </c>
      <c r="H27">
        <v>1.534</v>
      </c>
    </row>
    <row r="28" spans="1:8" x14ac:dyDescent="0.25">
      <c r="A28">
        <v>5</v>
      </c>
      <c r="B28">
        <v>12747.17</v>
      </c>
      <c r="D28">
        <v>4.5</v>
      </c>
      <c r="E28">
        <v>186</v>
      </c>
      <c r="G28">
        <v>18</v>
      </c>
      <c r="H28">
        <v>1.6220000000000001</v>
      </c>
    </row>
    <row r="29" spans="1:8" x14ac:dyDescent="0.25">
      <c r="A29">
        <v>10</v>
      </c>
      <c r="B29">
        <v>24724.14</v>
      </c>
      <c r="D29">
        <v>5</v>
      </c>
      <c r="E29">
        <v>207</v>
      </c>
      <c r="G29">
        <v>20</v>
      </c>
      <c r="H29">
        <v>1.6539999999999999</v>
      </c>
    </row>
    <row r="30" spans="1:8" x14ac:dyDescent="0.25">
      <c r="A30">
        <v>20</v>
      </c>
      <c r="B30">
        <v>52998.47</v>
      </c>
      <c r="D30">
        <v>10</v>
      </c>
      <c r="E30">
        <v>436</v>
      </c>
    </row>
    <row r="31" spans="1:8" x14ac:dyDescent="0.25">
      <c r="A31">
        <v>50</v>
      </c>
      <c r="B31">
        <v>121039.76</v>
      </c>
      <c r="D31">
        <v>15</v>
      </c>
      <c r="E31">
        <v>680</v>
      </c>
    </row>
    <row r="32" spans="1:8" x14ac:dyDescent="0.25">
      <c r="A32">
        <v>100</v>
      </c>
      <c r="B32">
        <v>228838.38</v>
      </c>
      <c r="D32">
        <v>20</v>
      </c>
      <c r="E32">
        <v>933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</vt:lpstr>
      <vt:lpstr>Beispieldaten aus der Norm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Koch</dc:creator>
  <cp:lastModifiedBy>Kniep, Carina (GDCh)</cp:lastModifiedBy>
  <cp:lastPrinted>2020-09-07T12:33:16Z</cp:lastPrinted>
  <dcterms:created xsi:type="dcterms:W3CDTF">2020-08-31T12:42:05Z</dcterms:created>
  <dcterms:modified xsi:type="dcterms:W3CDTF">2025-07-15T13:52:00Z</dcterms:modified>
</cp:coreProperties>
</file>