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_2 WG\DEV\DEV Excel-Arbeitsblätter\"/>
    </mc:Choice>
  </mc:AlternateContent>
  <bookViews>
    <workbookView xWindow="0" yWindow="0" windowWidth="26083" windowHeight="10542" tabRatio="664"/>
  </bookViews>
  <sheets>
    <sheet name="Bland-Altman-Diagramm" sheetId="6" r:id="rId1"/>
    <sheet name="Beispieldaten aus DIN 38402-71" sheetId="10" r:id="rId2"/>
    <sheet name="Anleitung" sheetId="7" r:id="rId3"/>
  </sheets>
  <definedNames>
    <definedName name="_xlnm.Print_Area" localSheetId="0">'Bland-Altman-Diagramm'!$A$1:$P$120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7" i="6" l="1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6" i="6"/>
  <c r="D17" i="6"/>
  <c r="D18" i="6"/>
  <c r="R18" i="6" s="1"/>
  <c r="D19" i="6"/>
  <c r="D20" i="6"/>
  <c r="R20" i="6" s="1"/>
  <c r="D21" i="6"/>
  <c r="R21" i="6" s="1"/>
  <c r="D22" i="6"/>
  <c r="R22" i="6" s="1"/>
  <c r="D23" i="6"/>
  <c r="R23" i="6" s="1"/>
  <c r="D24" i="6"/>
  <c r="R24" i="6" s="1"/>
  <c r="D25" i="6"/>
  <c r="R25" i="6" s="1"/>
  <c r="D26" i="6"/>
  <c r="R26" i="6" s="1"/>
  <c r="D27" i="6"/>
  <c r="R27" i="6" s="1"/>
  <c r="D28" i="6"/>
  <c r="R28" i="6" s="1"/>
  <c r="D29" i="6"/>
  <c r="R29" i="6" s="1"/>
  <c r="D30" i="6"/>
  <c r="R30" i="6" s="1"/>
  <c r="D31" i="6"/>
  <c r="D32" i="6"/>
  <c r="R32" i="6" s="1"/>
  <c r="D33" i="6"/>
  <c r="R33" i="6" s="1"/>
  <c r="D34" i="6"/>
  <c r="R34" i="6" s="1"/>
  <c r="D35" i="6"/>
  <c r="D36" i="6"/>
  <c r="R36" i="6" s="1"/>
  <c r="D37" i="6"/>
  <c r="R37" i="6" s="1"/>
  <c r="D38" i="6"/>
  <c r="R38" i="6" s="1"/>
  <c r="D39" i="6"/>
  <c r="R39" i="6" s="1"/>
  <c r="D40" i="6"/>
  <c r="R40" i="6" s="1"/>
  <c r="D41" i="6"/>
  <c r="R41" i="6" s="1"/>
  <c r="D42" i="6"/>
  <c r="R42" i="6" s="1"/>
  <c r="D43" i="6"/>
  <c r="R43" i="6" s="1"/>
  <c r="D44" i="6"/>
  <c r="R44" i="6" s="1"/>
  <c r="D45" i="6"/>
  <c r="R45" i="6" s="1"/>
  <c r="D46" i="6"/>
  <c r="R46" i="6" s="1"/>
  <c r="D47" i="6"/>
  <c r="D48" i="6"/>
  <c r="R48" i="6" s="1"/>
  <c r="D49" i="6"/>
  <c r="R49" i="6" s="1"/>
  <c r="D50" i="6"/>
  <c r="R50" i="6" s="1"/>
  <c r="D51" i="6"/>
  <c r="D52" i="6"/>
  <c r="R52" i="6" s="1"/>
  <c r="D53" i="6"/>
  <c r="R53" i="6" s="1"/>
  <c r="D54" i="6"/>
  <c r="R54" i="6" s="1"/>
  <c r="D55" i="6"/>
  <c r="R55" i="6" s="1"/>
  <c r="D56" i="6"/>
  <c r="R56" i="6" s="1"/>
  <c r="D57" i="6"/>
  <c r="R57" i="6" s="1"/>
  <c r="D58" i="6"/>
  <c r="R58" i="6" s="1"/>
  <c r="D59" i="6"/>
  <c r="D60" i="6"/>
  <c r="R60" i="6" s="1"/>
  <c r="D61" i="6"/>
  <c r="D62" i="6"/>
  <c r="D63" i="6"/>
  <c r="D64" i="6"/>
  <c r="R64" i="6" s="1"/>
  <c r="D65" i="6"/>
  <c r="R65" i="6" s="1"/>
  <c r="D66" i="6"/>
  <c r="R66" i="6" s="1"/>
  <c r="D67" i="6"/>
  <c r="D68" i="6"/>
  <c r="R68" i="6" s="1"/>
  <c r="D69" i="6"/>
  <c r="D70" i="6"/>
  <c r="D71" i="6"/>
  <c r="D72" i="6"/>
  <c r="R72" i="6" s="1"/>
  <c r="D73" i="6"/>
  <c r="R73" i="6" s="1"/>
  <c r="D74" i="6"/>
  <c r="R74" i="6" s="1"/>
  <c r="D75" i="6"/>
  <c r="D76" i="6"/>
  <c r="R76" i="6" s="1"/>
  <c r="D77" i="6"/>
  <c r="D78" i="6"/>
  <c r="D79" i="6"/>
  <c r="D80" i="6"/>
  <c r="R80" i="6" s="1"/>
  <c r="D81" i="6"/>
  <c r="R81" i="6" s="1"/>
  <c r="D82" i="6"/>
  <c r="R82" i="6" s="1"/>
  <c r="D83" i="6"/>
  <c r="D84" i="6"/>
  <c r="R84" i="6" s="1"/>
  <c r="D85" i="6"/>
  <c r="D86" i="6"/>
  <c r="D87" i="6"/>
  <c r="D88" i="6"/>
  <c r="R88" i="6" s="1"/>
  <c r="D89" i="6"/>
  <c r="R89" i="6" s="1"/>
  <c r="D90" i="6"/>
  <c r="R90" i="6" s="1"/>
  <c r="D91" i="6"/>
  <c r="D92" i="6"/>
  <c r="R92" i="6" s="1"/>
  <c r="D93" i="6"/>
  <c r="D94" i="6"/>
  <c r="D95" i="6"/>
  <c r="D96" i="6"/>
  <c r="R96" i="6" s="1"/>
  <c r="D97" i="6"/>
  <c r="R97" i="6" s="1"/>
  <c r="D98" i="6"/>
  <c r="R98" i="6" s="1"/>
  <c r="D99" i="6"/>
  <c r="D100" i="6"/>
  <c r="R100" i="6" s="1"/>
  <c r="D101" i="6"/>
  <c r="D102" i="6"/>
  <c r="D103" i="6"/>
  <c r="D104" i="6"/>
  <c r="R104" i="6" s="1"/>
  <c r="D105" i="6"/>
  <c r="R105" i="6" s="1"/>
  <c r="D106" i="6"/>
  <c r="R106" i="6" s="1"/>
  <c r="D107" i="6"/>
  <c r="D108" i="6"/>
  <c r="R108" i="6" s="1"/>
  <c r="D109" i="6"/>
  <c r="D110" i="6"/>
  <c r="D111" i="6"/>
  <c r="D112" i="6"/>
  <c r="R112" i="6" s="1"/>
  <c r="D113" i="6"/>
  <c r="R113" i="6" s="1"/>
  <c r="D114" i="6"/>
  <c r="R114" i="6" s="1"/>
  <c r="D115" i="6"/>
  <c r="R19" i="6"/>
  <c r="R31" i="6"/>
  <c r="R35" i="6"/>
  <c r="R47" i="6"/>
  <c r="R51" i="6"/>
  <c r="R59" i="6"/>
  <c r="R63" i="6"/>
  <c r="R67" i="6"/>
  <c r="R71" i="6"/>
  <c r="R75" i="6"/>
  <c r="R79" i="6"/>
  <c r="R83" i="6"/>
  <c r="R87" i="6"/>
  <c r="R91" i="6"/>
  <c r="R95" i="6"/>
  <c r="R99" i="6"/>
  <c r="R103" i="6"/>
  <c r="R107" i="6"/>
  <c r="R111" i="6"/>
  <c r="R115" i="6"/>
  <c r="D16" i="6"/>
  <c r="R17" i="6"/>
  <c r="R61" i="6"/>
  <c r="R62" i="6"/>
  <c r="R69" i="6"/>
  <c r="R70" i="6"/>
  <c r="R77" i="6"/>
  <c r="R78" i="6"/>
  <c r="R85" i="6"/>
  <c r="R86" i="6"/>
  <c r="R93" i="6"/>
  <c r="R94" i="6"/>
  <c r="R101" i="6"/>
  <c r="R102" i="6"/>
  <c r="R109" i="6"/>
  <c r="R110" i="6"/>
  <c r="R16" i="6"/>
  <c r="D116" i="6" l="1"/>
  <c r="T16" i="6" s="1"/>
  <c r="H52" i="6" l="1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M63" i="6"/>
  <c r="L89" i="6"/>
  <c r="O48" i="6" l="1"/>
  <c r="X17" i="6" s="1"/>
  <c r="O47" i="6"/>
  <c r="Y17" i="6" s="1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X16" i="6" l="1"/>
  <c r="Y16" i="6"/>
  <c r="O18" i="6" l="1"/>
  <c r="F118" i="6" l="1"/>
  <c r="F117" i="6"/>
  <c r="G114" i="6" l="1"/>
  <c r="E114" i="6"/>
  <c r="S114" i="6" s="1"/>
  <c r="E112" i="6"/>
  <c r="S112" i="6" s="1"/>
  <c r="G112" i="6"/>
  <c r="G110" i="6"/>
  <c r="E110" i="6"/>
  <c r="S110" i="6" s="1"/>
  <c r="E108" i="6"/>
  <c r="S108" i="6" s="1"/>
  <c r="G108" i="6"/>
  <c r="G106" i="6"/>
  <c r="E106" i="6"/>
  <c r="S106" i="6" s="1"/>
  <c r="E104" i="6"/>
  <c r="S104" i="6" s="1"/>
  <c r="G104" i="6"/>
  <c r="G102" i="6"/>
  <c r="E102" i="6"/>
  <c r="S102" i="6" s="1"/>
  <c r="E100" i="6"/>
  <c r="S100" i="6" s="1"/>
  <c r="G100" i="6"/>
  <c r="G98" i="6"/>
  <c r="E98" i="6"/>
  <c r="S98" i="6" s="1"/>
  <c r="E96" i="6"/>
  <c r="S96" i="6" s="1"/>
  <c r="G96" i="6"/>
  <c r="G94" i="6"/>
  <c r="E94" i="6"/>
  <c r="S94" i="6" s="1"/>
  <c r="E92" i="6"/>
  <c r="S92" i="6" s="1"/>
  <c r="G92" i="6"/>
  <c r="G90" i="6"/>
  <c r="E90" i="6"/>
  <c r="S90" i="6" s="1"/>
  <c r="E88" i="6"/>
  <c r="S88" i="6" s="1"/>
  <c r="G88" i="6"/>
  <c r="G86" i="6"/>
  <c r="E86" i="6"/>
  <c r="S86" i="6" s="1"/>
  <c r="G84" i="6"/>
  <c r="E84" i="6"/>
  <c r="S84" i="6" s="1"/>
  <c r="G82" i="6"/>
  <c r="E82" i="6"/>
  <c r="S82" i="6" s="1"/>
  <c r="G80" i="6"/>
  <c r="E80" i="6"/>
  <c r="S80" i="6" s="1"/>
  <c r="G78" i="6"/>
  <c r="E78" i="6"/>
  <c r="S78" i="6" s="1"/>
  <c r="G76" i="6"/>
  <c r="E76" i="6"/>
  <c r="S76" i="6" s="1"/>
  <c r="G74" i="6"/>
  <c r="E74" i="6"/>
  <c r="S74" i="6" s="1"/>
  <c r="G72" i="6"/>
  <c r="E72" i="6"/>
  <c r="S72" i="6" s="1"/>
  <c r="G70" i="6"/>
  <c r="E70" i="6"/>
  <c r="S70" i="6" s="1"/>
  <c r="G68" i="6"/>
  <c r="E68" i="6"/>
  <c r="S68" i="6" s="1"/>
  <c r="G66" i="6"/>
  <c r="E66" i="6"/>
  <c r="S66" i="6" s="1"/>
  <c r="G64" i="6"/>
  <c r="E64" i="6"/>
  <c r="S64" i="6" s="1"/>
  <c r="G62" i="6"/>
  <c r="E62" i="6"/>
  <c r="S62" i="6" s="1"/>
  <c r="G60" i="6"/>
  <c r="E60" i="6"/>
  <c r="S60" i="6" s="1"/>
  <c r="G58" i="6"/>
  <c r="E58" i="6"/>
  <c r="S58" i="6" s="1"/>
  <c r="G56" i="6"/>
  <c r="E56" i="6"/>
  <c r="S56" i="6" s="1"/>
  <c r="G115" i="6"/>
  <c r="E115" i="6"/>
  <c r="S115" i="6" s="1"/>
  <c r="G113" i="6"/>
  <c r="E113" i="6"/>
  <c r="S113" i="6" s="1"/>
  <c r="G111" i="6"/>
  <c r="E111" i="6"/>
  <c r="S111" i="6" s="1"/>
  <c r="G109" i="6"/>
  <c r="E109" i="6"/>
  <c r="S109" i="6" s="1"/>
  <c r="G107" i="6"/>
  <c r="E107" i="6"/>
  <c r="S107" i="6" s="1"/>
  <c r="G105" i="6"/>
  <c r="E105" i="6"/>
  <c r="S105" i="6" s="1"/>
  <c r="G103" i="6"/>
  <c r="E103" i="6"/>
  <c r="S103" i="6" s="1"/>
  <c r="G101" i="6"/>
  <c r="E101" i="6"/>
  <c r="S101" i="6" s="1"/>
  <c r="G99" i="6"/>
  <c r="E99" i="6"/>
  <c r="S99" i="6" s="1"/>
  <c r="G97" i="6"/>
  <c r="E97" i="6"/>
  <c r="S97" i="6" s="1"/>
  <c r="G95" i="6"/>
  <c r="E95" i="6"/>
  <c r="S95" i="6" s="1"/>
  <c r="G93" i="6"/>
  <c r="E93" i="6"/>
  <c r="S93" i="6" s="1"/>
  <c r="G91" i="6"/>
  <c r="E91" i="6"/>
  <c r="S91" i="6" s="1"/>
  <c r="G89" i="6"/>
  <c r="E89" i="6"/>
  <c r="S89" i="6" s="1"/>
  <c r="G87" i="6"/>
  <c r="E87" i="6"/>
  <c r="S87" i="6" s="1"/>
  <c r="G85" i="6"/>
  <c r="E85" i="6"/>
  <c r="S85" i="6" s="1"/>
  <c r="G83" i="6"/>
  <c r="E83" i="6"/>
  <c r="S83" i="6" s="1"/>
  <c r="G81" i="6"/>
  <c r="E81" i="6"/>
  <c r="S81" i="6" s="1"/>
  <c r="G79" i="6"/>
  <c r="E79" i="6"/>
  <c r="S79" i="6" s="1"/>
  <c r="G77" i="6"/>
  <c r="E77" i="6"/>
  <c r="S77" i="6" s="1"/>
  <c r="G75" i="6"/>
  <c r="E75" i="6"/>
  <c r="S75" i="6" s="1"/>
  <c r="G73" i="6"/>
  <c r="E73" i="6"/>
  <c r="S73" i="6" s="1"/>
  <c r="G71" i="6"/>
  <c r="E71" i="6"/>
  <c r="S71" i="6" s="1"/>
  <c r="G69" i="6"/>
  <c r="E69" i="6"/>
  <c r="S69" i="6" s="1"/>
  <c r="G67" i="6"/>
  <c r="E67" i="6"/>
  <c r="S67" i="6" s="1"/>
  <c r="G65" i="6"/>
  <c r="E65" i="6"/>
  <c r="S65" i="6" s="1"/>
  <c r="G63" i="6"/>
  <c r="E63" i="6"/>
  <c r="S63" i="6" s="1"/>
  <c r="G61" i="6"/>
  <c r="E61" i="6"/>
  <c r="S61" i="6" s="1"/>
  <c r="G59" i="6"/>
  <c r="E59" i="6"/>
  <c r="S59" i="6" s="1"/>
  <c r="G57" i="6"/>
  <c r="E57" i="6"/>
  <c r="S57" i="6" s="1"/>
  <c r="O92" i="6"/>
  <c r="O93" i="6"/>
  <c r="O90" i="6"/>
  <c r="O89" i="6"/>
  <c r="L90" i="6"/>
  <c r="E16" i="6" l="1"/>
  <c r="G16" i="6"/>
  <c r="F16" i="6" l="1"/>
  <c r="S16" i="6"/>
  <c r="O60" i="6"/>
  <c r="L47" i="6"/>
  <c r="O64" i="6"/>
  <c r="O63" i="6"/>
  <c r="D117" i="6" l="1"/>
  <c r="D119" i="6"/>
  <c r="G54" i="6"/>
  <c r="E54" i="6"/>
  <c r="S54" i="6" s="1"/>
  <c r="G52" i="6"/>
  <c r="E52" i="6"/>
  <c r="S52" i="6" s="1"/>
  <c r="G50" i="6"/>
  <c r="E50" i="6"/>
  <c r="G48" i="6"/>
  <c r="E48" i="6"/>
  <c r="G46" i="6"/>
  <c r="E46" i="6"/>
  <c r="G44" i="6"/>
  <c r="E44" i="6"/>
  <c r="G42" i="6"/>
  <c r="E42" i="6"/>
  <c r="G40" i="6"/>
  <c r="E40" i="6"/>
  <c r="G38" i="6"/>
  <c r="E38" i="6"/>
  <c r="G36" i="6"/>
  <c r="E36" i="6"/>
  <c r="G34" i="6"/>
  <c r="E34" i="6"/>
  <c r="G32" i="6"/>
  <c r="E32" i="6"/>
  <c r="G30" i="6"/>
  <c r="E30" i="6"/>
  <c r="G28" i="6"/>
  <c r="E28" i="6"/>
  <c r="G26" i="6"/>
  <c r="E26" i="6"/>
  <c r="G24" i="6"/>
  <c r="E24" i="6"/>
  <c r="G22" i="6"/>
  <c r="E22" i="6"/>
  <c r="G20" i="6"/>
  <c r="E20" i="6"/>
  <c r="G18" i="6"/>
  <c r="E18" i="6"/>
  <c r="G55" i="6"/>
  <c r="E55" i="6"/>
  <c r="S55" i="6" s="1"/>
  <c r="G53" i="6"/>
  <c r="E53" i="6"/>
  <c r="S53" i="6" s="1"/>
  <c r="G51" i="6"/>
  <c r="E51" i="6"/>
  <c r="G49" i="6"/>
  <c r="E49" i="6"/>
  <c r="G47" i="6"/>
  <c r="E47" i="6"/>
  <c r="G45" i="6"/>
  <c r="E45" i="6"/>
  <c r="G43" i="6"/>
  <c r="E43" i="6"/>
  <c r="G41" i="6"/>
  <c r="E41" i="6"/>
  <c r="G39" i="6"/>
  <c r="E39" i="6"/>
  <c r="G37" i="6"/>
  <c r="E37" i="6"/>
  <c r="G35" i="6"/>
  <c r="E35" i="6"/>
  <c r="G33" i="6"/>
  <c r="E33" i="6"/>
  <c r="G31" i="6"/>
  <c r="E31" i="6"/>
  <c r="G29" i="6"/>
  <c r="E29" i="6"/>
  <c r="G27" i="6"/>
  <c r="E27" i="6"/>
  <c r="G25" i="6"/>
  <c r="E25" i="6"/>
  <c r="G23" i="6"/>
  <c r="E23" i="6"/>
  <c r="G21" i="6"/>
  <c r="E21" i="6"/>
  <c r="G19" i="6"/>
  <c r="E19" i="6"/>
  <c r="G17" i="6"/>
  <c r="E17" i="6"/>
  <c r="D118" i="6"/>
  <c r="T17" i="6" s="1"/>
  <c r="F17" i="6" l="1"/>
  <c r="S17" i="6"/>
  <c r="F21" i="6"/>
  <c r="S21" i="6"/>
  <c r="F29" i="6"/>
  <c r="S29" i="6"/>
  <c r="F33" i="6"/>
  <c r="S33" i="6"/>
  <c r="F37" i="6"/>
  <c r="S37" i="6"/>
  <c r="F41" i="6"/>
  <c r="S41" i="6"/>
  <c r="F45" i="6"/>
  <c r="S45" i="6"/>
  <c r="F49" i="6"/>
  <c r="S49" i="6"/>
  <c r="F18" i="6"/>
  <c r="S18" i="6"/>
  <c r="F22" i="6"/>
  <c r="S22" i="6"/>
  <c r="F26" i="6"/>
  <c r="S26" i="6"/>
  <c r="F30" i="6"/>
  <c r="S30" i="6"/>
  <c r="F34" i="6"/>
  <c r="S34" i="6"/>
  <c r="F38" i="6"/>
  <c r="S38" i="6"/>
  <c r="F42" i="6"/>
  <c r="S42" i="6"/>
  <c r="F46" i="6"/>
  <c r="S46" i="6"/>
  <c r="F50" i="6"/>
  <c r="S50" i="6"/>
  <c r="F19" i="6"/>
  <c r="S19" i="6"/>
  <c r="F23" i="6"/>
  <c r="S23" i="6"/>
  <c r="F27" i="6"/>
  <c r="S27" i="6"/>
  <c r="F31" i="6"/>
  <c r="S31" i="6"/>
  <c r="F35" i="6"/>
  <c r="S35" i="6"/>
  <c r="F39" i="6"/>
  <c r="S39" i="6"/>
  <c r="F43" i="6"/>
  <c r="S43" i="6"/>
  <c r="F47" i="6"/>
  <c r="S47" i="6"/>
  <c r="F51" i="6"/>
  <c r="S51" i="6"/>
  <c r="F20" i="6"/>
  <c r="S20" i="6"/>
  <c r="F24" i="6"/>
  <c r="S24" i="6"/>
  <c r="F28" i="6"/>
  <c r="S28" i="6"/>
  <c r="F32" i="6"/>
  <c r="S32" i="6"/>
  <c r="F36" i="6"/>
  <c r="S36" i="6"/>
  <c r="F40" i="6"/>
  <c r="S40" i="6"/>
  <c r="F44" i="6"/>
  <c r="S44" i="6"/>
  <c r="F48" i="6"/>
  <c r="S48" i="6"/>
  <c r="F25" i="6"/>
  <c r="S25" i="6"/>
  <c r="K90" i="6"/>
  <c r="K89" i="6"/>
  <c r="K45" i="6"/>
  <c r="K44" i="6"/>
  <c r="L49" i="6"/>
  <c r="M96" i="6"/>
  <c r="N63" i="6"/>
  <c r="K21" i="6"/>
  <c r="K65" i="6"/>
  <c r="F119" i="6" l="1"/>
  <c r="AB16" i="6"/>
  <c r="AB17" i="6"/>
  <c r="N90" i="6"/>
  <c r="N89" i="6"/>
  <c r="U17" i="6"/>
  <c r="U16" i="6"/>
  <c r="O45" i="6"/>
  <c r="O44" i="6"/>
  <c r="N64" i="6"/>
  <c r="L48" i="6" l="1"/>
  <c r="O20" i="6" s="1"/>
  <c r="J49" i="6"/>
  <c r="AD17" i="6"/>
  <c r="AD16" i="6"/>
  <c r="AC16" i="6"/>
  <c r="AC17" i="6"/>
  <c r="N93" i="6"/>
  <c r="N92" i="6"/>
  <c r="W16" i="6"/>
  <c r="W17" i="6"/>
  <c r="V16" i="6"/>
  <c r="V17" i="6"/>
  <c r="AF17" i="6" l="1"/>
  <c r="AF16" i="6"/>
  <c r="AE16" i="6"/>
  <c r="AE17" i="6"/>
  <c r="H19" i="6"/>
  <c r="H23" i="6"/>
  <c r="H27" i="6"/>
  <c r="H31" i="6"/>
  <c r="H35" i="6"/>
  <c r="H39" i="6"/>
  <c r="H43" i="6"/>
  <c r="H47" i="6"/>
  <c r="H51" i="6"/>
  <c r="H20" i="6"/>
  <c r="H24" i="6"/>
  <c r="H28" i="6"/>
  <c r="H32" i="6"/>
  <c r="H36" i="6"/>
  <c r="H40" i="6"/>
  <c r="H44" i="6"/>
  <c r="H48" i="6"/>
  <c r="H16" i="6"/>
  <c r="H17" i="6"/>
  <c r="H21" i="6"/>
  <c r="H25" i="6"/>
  <c r="H29" i="6"/>
  <c r="H33" i="6"/>
  <c r="H37" i="6"/>
  <c r="H41" i="6"/>
  <c r="H45" i="6"/>
  <c r="H49" i="6"/>
  <c r="H18" i="6"/>
  <c r="H22" i="6"/>
  <c r="H26" i="6"/>
  <c r="H30" i="6"/>
  <c r="H34" i="6"/>
  <c r="H38" i="6"/>
  <c r="H42" i="6"/>
  <c r="H46" i="6"/>
  <c r="H50" i="6"/>
  <c r="H119" i="6" l="1"/>
  <c r="N95" i="6" s="1"/>
  <c r="O66" i="6" s="1"/>
  <c r="K96" i="6" l="1"/>
</calcChain>
</file>

<file path=xl/comments1.xml><?xml version="1.0" encoding="utf-8"?>
<comments xmlns="http://schemas.openxmlformats.org/spreadsheetml/2006/main">
  <authors>
    <author>Bauer Karl-Heinz</author>
    <author>karl-heinz bauer</author>
  </authors>
  <commentList>
    <comment ref="F15" authorId="0" shapeId="0">
      <text>
        <r>
          <rPr>
            <sz val="9"/>
            <color indexed="81"/>
            <rFont val="Tahoma"/>
            <family val="2"/>
          </rPr>
          <t>tolerierte Abweichung Ao bzw Au (15, 16) im Quotientendiagramm
Ao: überschritten
Au: unterschritten</t>
        </r>
      </text>
    </comment>
    <comment ref="H15" authorId="1" shapeId="0">
      <text>
        <r>
          <rPr>
            <sz val="9"/>
            <color indexed="81"/>
            <rFont val="Segoe UI"/>
            <family val="2"/>
          </rPr>
          <t xml:space="preserve">* falls AoD (C.7) oder AuD (C.8) im Differenzendiagramm über- bzw. unterschritten wird
</t>
        </r>
      </text>
    </comment>
  </commentList>
</comments>
</file>

<file path=xl/sharedStrings.xml><?xml version="1.0" encoding="utf-8"?>
<sst xmlns="http://schemas.openxmlformats.org/spreadsheetml/2006/main" count="141" uniqueCount="109">
  <si>
    <t>Möglichkeit zum Sortieren:</t>
  </si>
  <si>
    <t>µg/l</t>
  </si>
  <si>
    <t>KuD</t>
  </si>
  <si>
    <t>KoD</t>
  </si>
  <si>
    <t>KuQ</t>
  </si>
  <si>
    <t>KoQ</t>
  </si>
  <si>
    <t>D-quer</t>
  </si>
  <si>
    <t>Q-quer</t>
  </si>
  <si>
    <t>AuD</t>
  </si>
  <si>
    <t>AoD</t>
  </si>
  <si>
    <t>AuQ</t>
  </si>
  <si>
    <t>AoQ</t>
  </si>
  <si>
    <t>Anzahl</t>
  </si>
  <si>
    <t>Hydrid-AAS</t>
  </si>
  <si>
    <t>Punkte innerhalb:</t>
  </si>
  <si>
    <t>Median</t>
  </si>
  <si>
    <t>Maximum</t>
  </si>
  <si>
    <t xml:space="preserve">Auswahlfeld Bezugskonzentration xp-quer für D-Plot:   </t>
  </si>
  <si>
    <t>resultierende akzeptierte Abweichung:</t>
  </si>
  <si>
    <t>Prüfung auf Gleichwertigkeit mit dem Bland-Altman-Diagramm (DEV-A71)</t>
  </si>
  <si>
    <t>lfd-Nr</t>
  </si>
  <si>
    <t>Datensatz A</t>
  </si>
  <si>
    <t>Datensatz B</t>
  </si>
  <si>
    <t>Parameter</t>
  </si>
  <si>
    <t xml:space="preserve">Analyseverfahren zu Datensatz A </t>
  </si>
  <si>
    <t xml:space="preserve">Analyseverfahren zu Datensatz B </t>
  </si>
  <si>
    <t xml:space="preserve">Einheit der Datensätze </t>
  </si>
  <si>
    <t xml:space="preserve">durchgeführt von  </t>
  </si>
  <si>
    <t xml:space="preserve">am (Datum) </t>
  </si>
  <si>
    <t xml:space="preserve">freigegeben von  </t>
  </si>
  <si>
    <t>geprüfter Arbeitsbereich von/bis</t>
  </si>
  <si>
    <t>Angaben zu Proben / Datenherkunft</t>
  </si>
  <si>
    <t>Anleitung</t>
  </si>
  <si>
    <t>Inhalt der Zellen E4:E14 auf Tabellenblatt Eingabe löschen</t>
  </si>
  <si>
    <t>Inhalt der Zellen B21:C120 auf Tabellenblatt Eingabe löschen</t>
  </si>
  <si>
    <t>Für jeden Datensatz sollte ein Ergebnis mit Verfahren A und Verfahren B vorliegen.</t>
  </si>
  <si>
    <t>Den Wertebereich der Daten in Spalte B, Spalte C und Spalte D markieren.</t>
  </si>
  <si>
    <t>Allgemeine Informationen in E4 bis E14 eintragen.</t>
  </si>
  <si>
    <t>Messdaten in Zellbereich B21:C120 eintragen.</t>
  </si>
  <si>
    <t>Dann über xp-quer der Größe nach aufsteigend sortieren.</t>
  </si>
  <si>
    <t>akzeptierte Abweichung:</t>
  </si>
  <si>
    <t>Ergebnis der Prüfung:</t>
  </si>
  <si>
    <t>Punkte innerhalb der Akzeptanzgrenzen:</t>
  </si>
  <si>
    <t>Arsen</t>
  </si>
  <si>
    <t>ICP-MS KED Technik</t>
  </si>
  <si>
    <t>1 bis 100 µg/l</t>
  </si>
  <si>
    <t>khb</t>
  </si>
  <si>
    <t>Messung von Mineralwasser-Proben</t>
  </si>
  <si>
    <t>LL</t>
  </si>
  <si>
    <t>von</t>
  </si>
  <si>
    <t>Akzeptanzgrenzen:</t>
  </si>
  <si>
    <t>Differenzen-Diagramm</t>
  </si>
  <si>
    <t>Quotienten-Diagramm</t>
  </si>
  <si>
    <t>Prüfung auf Gleichwertigkeit:</t>
  </si>
  <si>
    <t>Bland-Altman Quotienten-Diagramm mit vorgegebenen Grenzen:</t>
  </si>
  <si>
    <t>Bland-Altman Differenzen-Diagramm mit vorgegebenen Grenzen:</t>
  </si>
  <si>
    <r>
      <t>D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(C.2)</t>
    </r>
  </si>
  <si>
    <r>
      <t>Q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(10)</t>
    </r>
  </si>
  <si>
    <t xml:space="preserve">       (9)</t>
  </si>
  <si>
    <r>
      <t>A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 xml:space="preserve"> / A</t>
    </r>
    <r>
      <rPr>
        <vertAlign val="subscript"/>
        <sz val="10"/>
        <rFont val="Arial"/>
        <family val="2"/>
      </rPr>
      <t>u</t>
    </r>
  </si>
  <si>
    <r>
      <t xml:space="preserve">Akzeptanzgrenzen </t>
    </r>
    <r>
      <rPr>
        <sz val="10"/>
        <rFont val="Calibri"/>
        <family val="2"/>
      </rPr>
      <t>±</t>
    </r>
    <r>
      <rPr>
        <sz val="10"/>
        <rFont val="Arial"/>
        <family val="2"/>
      </rPr>
      <t>:</t>
    </r>
  </si>
  <si>
    <r>
      <t>s</t>
    </r>
    <r>
      <rPr>
        <vertAlign val="subscript"/>
        <sz val="10"/>
        <rFont val="Arial"/>
        <family val="2"/>
      </rPr>
      <t xml:space="preserve">Q </t>
    </r>
    <r>
      <rPr>
        <sz val="10"/>
        <rFont val="Arial"/>
        <family val="2"/>
      </rPr>
      <t xml:space="preserve"> (12)</t>
    </r>
  </si>
  <si>
    <t>Au/Ao</t>
  </si>
  <si>
    <r>
      <t>K</t>
    </r>
    <r>
      <rPr>
        <vertAlign val="subscript"/>
        <sz val="10"/>
        <rFont val="Arial"/>
        <family val="2"/>
      </rPr>
      <t>o,Q</t>
    </r>
    <r>
      <rPr>
        <sz val="10"/>
        <rFont val="Arial"/>
        <family val="2"/>
      </rPr>
      <t xml:space="preserve"> (13)</t>
    </r>
  </si>
  <si>
    <r>
      <t>K</t>
    </r>
    <r>
      <rPr>
        <vertAlign val="subscript"/>
        <sz val="10"/>
        <rFont val="Arial"/>
        <family val="2"/>
      </rPr>
      <t>u,Q</t>
    </r>
    <r>
      <rPr>
        <sz val="10"/>
        <rFont val="Arial"/>
        <family val="2"/>
      </rPr>
      <t xml:space="preserve"> (14)</t>
    </r>
  </si>
  <si>
    <r>
      <t>akzeptierte Abweichung a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in %</t>
    </r>
  </si>
  <si>
    <r>
      <t>A</t>
    </r>
    <r>
      <rPr>
        <vertAlign val="subscript"/>
        <sz val="10"/>
        <rFont val="Arial"/>
        <family val="2"/>
      </rPr>
      <t>o,Q</t>
    </r>
    <r>
      <rPr>
        <sz val="10"/>
        <rFont val="Arial"/>
        <family val="2"/>
      </rPr>
      <t xml:space="preserve"> (15)</t>
    </r>
  </si>
  <si>
    <r>
      <t>A</t>
    </r>
    <r>
      <rPr>
        <vertAlign val="subscript"/>
        <sz val="10"/>
        <rFont val="Arial"/>
        <family val="2"/>
      </rPr>
      <t>u,Q</t>
    </r>
    <r>
      <rPr>
        <sz val="10"/>
        <rFont val="Arial"/>
        <family val="2"/>
      </rPr>
      <t xml:space="preserve"> (16)</t>
    </r>
  </si>
  <si>
    <t>(C.3)</t>
  </si>
  <si>
    <r>
      <t xml:space="preserve"> s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 xml:space="preserve"> (C.4)</t>
    </r>
  </si>
  <si>
    <r>
      <t>K</t>
    </r>
    <r>
      <rPr>
        <vertAlign val="subscript"/>
        <sz val="10"/>
        <rFont val="Arial"/>
        <family val="2"/>
      </rPr>
      <t xml:space="preserve">o,D </t>
    </r>
    <r>
      <rPr>
        <sz val="10"/>
        <rFont val="Arial"/>
        <family val="2"/>
      </rPr>
      <t>(C.5)</t>
    </r>
  </si>
  <si>
    <r>
      <t>K</t>
    </r>
    <r>
      <rPr>
        <vertAlign val="subscript"/>
        <sz val="10"/>
        <rFont val="Arial"/>
        <family val="2"/>
      </rPr>
      <t>u,D</t>
    </r>
    <r>
      <rPr>
        <sz val="10"/>
        <rFont val="Arial"/>
        <family val="2"/>
      </rPr>
      <t xml:space="preserve"> (C.6)</t>
    </r>
  </si>
  <si>
    <r>
      <t>A</t>
    </r>
    <r>
      <rPr>
        <vertAlign val="subscript"/>
        <sz val="10"/>
        <rFont val="Arial"/>
        <family val="2"/>
      </rPr>
      <t>o,D</t>
    </r>
    <r>
      <rPr>
        <sz val="10"/>
        <rFont val="Arial"/>
        <family val="2"/>
      </rPr>
      <t xml:space="preserve"> (C.7)</t>
    </r>
  </si>
  <si>
    <r>
      <t>A</t>
    </r>
    <r>
      <rPr>
        <vertAlign val="subscript"/>
        <sz val="10"/>
        <rFont val="Arial"/>
        <family val="2"/>
      </rPr>
      <t>u,D</t>
    </r>
    <r>
      <rPr>
        <sz val="10"/>
        <rFont val="Arial"/>
        <family val="2"/>
      </rPr>
      <t xml:space="preserve"> (C.8)</t>
    </r>
  </si>
  <si>
    <t>(11)</t>
  </si>
  <si>
    <t>Daten für Quotientendiagramm</t>
  </si>
  <si>
    <t>Daten für Differenzendiagramm</t>
  </si>
  <si>
    <t>(siehe ANMERKUNG in Kap. C.1)</t>
  </si>
  <si>
    <t>x</t>
  </si>
  <si>
    <t>Qp</t>
  </si>
  <si>
    <t>Minimum</t>
  </si>
  <si>
    <t>min/max</t>
  </si>
  <si>
    <t>Dp</t>
  </si>
  <si>
    <t xml:space="preserve"> v 1.0  15.06.2020</t>
  </si>
  <si>
    <t>Copyright © 2020, Details s.u.</t>
  </si>
  <si>
    <t>Autoren: Karl-Heinz Bauer und Michael Koch für den DIN NA 119-01-03-06-AK6</t>
  </si>
  <si>
    <t xml:space="preserve">Die Verwendung dieses EXCEL-Sheets ist  frei. </t>
  </si>
  <si>
    <t xml:space="preserve">Sie können es unter den Bedingungen der GNU General Public License, wie von der </t>
  </si>
  <si>
    <t>Free Software Foundation veröffentlicht, weitergeben und/oder modifizieren.</t>
  </si>
  <si>
    <t xml:space="preserve">Dieses Programm wird in der Hoffnung verteilt, dass es nützlich sein wird, aber </t>
  </si>
  <si>
    <t xml:space="preserve">OHNE JEGLICHE GARANTIE; sogar ohne die implizite Garantie der </t>
  </si>
  <si>
    <t>Siehe die GNU General Public License (https://www.gnu.org/licenses/) für weitere Einzelheiten.</t>
  </si>
  <si>
    <t xml:space="preserve">MARKTGÄNGIGKEIT oder der EIGNUNG FÜR EINEN BESTIMMTEN ZWECK.  </t>
  </si>
  <si>
    <t>Copyright © 2020</t>
  </si>
  <si>
    <t>Bland-Altman Diagramme</t>
  </si>
  <si>
    <t>TOC in Abwasserproben</t>
  </si>
  <si>
    <t>TOC-Bestimmung nach DIN EN 1484</t>
  </si>
  <si>
    <t>Küvettentest mit laborinterner Kalibrierung</t>
  </si>
  <si>
    <t>mg/l</t>
  </si>
  <si>
    <t>5 mg/l bis 50 mg/l</t>
  </si>
  <si>
    <t>50 mg/l bis 500 mg/l</t>
  </si>
  <si>
    <t>Abwasserproben aus der Routineanalytik</t>
  </si>
  <si>
    <t>akzeptierte Abweichung in %</t>
  </si>
  <si>
    <t>Anhang B, Beispiel B.1</t>
  </si>
  <si>
    <t>Anhang B, Beispiel B.2</t>
  </si>
  <si>
    <t>Anhang B, Beispiel B.3</t>
  </si>
  <si>
    <t>akzeptierte Abweichung %:</t>
  </si>
  <si>
    <t>Gleichwertigkeit / Beispieldaten aus der DIN 38402-71 (2020)</t>
  </si>
  <si>
    <t>Küvettentest ohne laborinterne Kalibrierung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</si>
</sst>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00"/>
    <numFmt numFmtId="166" formatCode="0.0%"/>
    <numFmt numFmtId="167" formatCode="0.0000"/>
  </numFmts>
  <fonts count="2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006600"/>
      <name val="Arial"/>
      <family val="2"/>
    </font>
    <font>
      <sz val="9"/>
      <color indexed="81"/>
      <name val="Tahoma"/>
      <family val="2"/>
    </font>
    <font>
      <sz val="10"/>
      <color rgb="FF0000FF"/>
      <name val="Arial"/>
      <family val="2"/>
    </font>
    <font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9"/>
      <color rgb="FF006600"/>
      <name val="Arial"/>
      <family val="2"/>
    </font>
    <font>
      <b/>
      <sz val="9"/>
      <color rgb="FF0000FF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0"/>
      <name val="Arial"/>
      <family val="2"/>
    </font>
    <font>
      <sz val="8"/>
      <color theme="0" tint="-0.499984740745262"/>
      <name val="Arial"/>
      <family val="2"/>
    </font>
    <font>
      <sz val="8"/>
      <color rgb="FF00660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3" fillId="2" borderId="2" applyNumberFormat="0" applyAlignment="0" applyProtection="0"/>
    <xf numFmtId="0" fontId="14" fillId="3" borderId="4" applyNumberFormat="0" applyAlignment="0" applyProtection="0"/>
    <xf numFmtId="0" fontId="15" fillId="2" borderId="3" applyNumberFormat="0" applyAlignment="0" applyProtection="0"/>
    <xf numFmtId="0" fontId="2" fillId="4" borderId="1" applyFont="0">
      <alignment horizontal="center"/>
    </xf>
    <xf numFmtId="164" fontId="25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5" borderId="12" xfId="0" applyFont="1" applyFill="1" applyBorder="1" applyAlignment="1" applyProtection="1">
      <protection locked="0"/>
    </xf>
    <xf numFmtId="0" fontId="2" fillId="5" borderId="14" xfId="0" applyFont="1" applyFill="1" applyBorder="1" applyAlignment="1" applyProtection="1">
      <protection locked="0"/>
    </xf>
    <xf numFmtId="0" fontId="2" fillId="5" borderId="6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protection locked="0"/>
    </xf>
    <xf numFmtId="0" fontId="23" fillId="6" borderId="0" xfId="0" applyFont="1" applyFill="1" applyProtection="1"/>
    <xf numFmtId="0" fontId="0" fillId="6" borderId="0" xfId="0" applyFill="1" applyProtection="1"/>
    <xf numFmtId="0" fontId="0" fillId="6" borderId="0" xfId="0" applyFill="1" applyAlignment="1" applyProtection="1">
      <alignment horizontal="center"/>
    </xf>
    <xf numFmtId="0" fontId="6" fillId="6" borderId="0" xfId="0" applyFont="1" applyFill="1" applyAlignment="1" applyProtection="1">
      <alignment horizontal="right"/>
    </xf>
    <xf numFmtId="49" fontId="6" fillId="6" borderId="0" xfId="0" applyNumberFormat="1" applyFont="1" applyFill="1" applyProtection="1"/>
    <xf numFmtId="14" fontId="6" fillId="6" borderId="0" xfId="0" applyNumberFormat="1" applyFont="1" applyFill="1" applyProtection="1"/>
    <xf numFmtId="0" fontId="6" fillId="6" borderId="0" xfId="0" applyFont="1" applyFill="1" applyAlignment="1" applyProtection="1">
      <alignment horizontal="center"/>
    </xf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6" borderId="0" xfId="0" applyFont="1" applyFill="1" applyProtection="1"/>
    <xf numFmtId="14" fontId="0" fillId="6" borderId="0" xfId="0" applyNumberFormat="1" applyFill="1" applyProtection="1"/>
    <xf numFmtId="0" fontId="0" fillId="0" borderId="0" xfId="0" applyProtection="1"/>
    <xf numFmtId="0" fontId="3" fillId="6" borderId="0" xfId="0" applyFont="1" applyFill="1" applyProtection="1"/>
    <xf numFmtId="0" fontId="2" fillId="6" borderId="0" xfId="1" applyFont="1" applyFill="1" applyAlignment="1" applyProtection="1">
      <alignment vertical="top"/>
    </xf>
    <xf numFmtId="0" fontId="19" fillId="6" borderId="0" xfId="0" applyFont="1" applyFill="1" applyProtection="1"/>
    <xf numFmtId="0" fontId="2" fillId="6" borderId="0" xfId="1" applyFont="1" applyFill="1" applyAlignment="1" applyProtection="1">
      <alignment horizontal="left" vertical="top"/>
    </xf>
    <xf numFmtId="0" fontId="21" fillId="6" borderId="0" xfId="1" applyFont="1" applyFill="1" applyAlignment="1" applyProtection="1">
      <alignment vertical="top"/>
    </xf>
    <xf numFmtId="0" fontId="4" fillId="0" borderId="0" xfId="0" applyFont="1" applyProtection="1"/>
    <xf numFmtId="0" fontId="2" fillId="6" borderId="15" xfId="0" applyFont="1" applyFill="1" applyBorder="1" applyAlignment="1" applyProtection="1">
      <alignment horizontal="center"/>
    </xf>
    <xf numFmtId="0" fontId="2" fillId="6" borderId="16" xfId="0" applyFont="1" applyFill="1" applyBorder="1" applyProtection="1"/>
    <xf numFmtId="0" fontId="2" fillId="6" borderId="17" xfId="0" applyFont="1" applyFill="1" applyBorder="1" applyProtection="1"/>
    <xf numFmtId="0" fontId="2" fillId="6" borderId="10" xfId="0" quotePrefix="1" applyFont="1" applyFill="1" applyBorder="1" applyAlignment="1" applyProtection="1">
      <alignment horizontal="center"/>
    </xf>
    <xf numFmtId="0" fontId="2" fillId="6" borderId="17" xfId="0" applyFont="1" applyFill="1" applyBorder="1" applyAlignment="1" applyProtection="1">
      <alignment horizontal="center"/>
    </xf>
    <xf numFmtId="0" fontId="3" fillId="6" borderId="26" xfId="0" applyFont="1" applyFill="1" applyBorder="1" applyProtection="1"/>
    <xf numFmtId="0" fontId="0" fillId="6" borderId="27" xfId="0" applyFill="1" applyBorder="1" applyProtection="1"/>
    <xf numFmtId="0" fontId="6" fillId="6" borderId="28" xfId="0" applyFont="1" applyFill="1" applyBorder="1" applyProtection="1"/>
    <xf numFmtId="0" fontId="2" fillId="0" borderId="1" xfId="0" applyFont="1" applyBorder="1" applyProtection="1"/>
    <xf numFmtId="0" fontId="2" fillId="0" borderId="1" xfId="0" applyFont="1" applyFill="1" applyBorder="1" applyProtection="1"/>
    <xf numFmtId="0" fontId="2" fillId="0" borderId="5" xfId="0" applyFont="1" applyBorder="1" applyProtection="1"/>
    <xf numFmtId="0" fontId="2" fillId="0" borderId="5" xfId="0" applyFont="1" applyFill="1" applyBorder="1" applyProtection="1"/>
    <xf numFmtId="0" fontId="18" fillId="0" borderId="0" xfId="0" applyFont="1" applyFill="1" applyBorder="1" applyProtection="1"/>
    <xf numFmtId="0" fontId="0" fillId="6" borderId="11" xfId="0" applyFill="1" applyBorder="1" applyAlignment="1" applyProtection="1">
      <alignment horizontal="center"/>
    </xf>
    <xf numFmtId="0" fontId="2" fillId="6" borderId="23" xfId="0" applyFont="1" applyFill="1" applyBorder="1" applyAlignment="1" applyProtection="1">
      <alignment horizontal="center"/>
    </xf>
    <xf numFmtId="0" fontId="0" fillId="6" borderId="23" xfId="0" applyFill="1" applyBorder="1" applyProtection="1"/>
    <xf numFmtId="0" fontId="0" fillId="6" borderId="23" xfId="0" applyFill="1" applyBorder="1" applyAlignment="1" applyProtection="1">
      <alignment horizontal="center"/>
    </xf>
    <xf numFmtId="0" fontId="2" fillId="6" borderId="29" xfId="0" applyFont="1" applyFill="1" applyBorder="1" applyProtection="1"/>
    <xf numFmtId="0" fontId="2" fillId="6" borderId="30" xfId="0" applyFont="1" applyFill="1" applyBorder="1" applyAlignment="1" applyProtection="1">
      <alignment horizontal="center"/>
    </xf>
    <xf numFmtId="0" fontId="0" fillId="6" borderId="11" xfId="0" applyFill="1" applyBorder="1" applyProtection="1"/>
    <xf numFmtId="0" fontId="0" fillId="6" borderId="0" xfId="0" applyFill="1" applyBorder="1" applyProtection="1"/>
    <xf numFmtId="0" fontId="0" fillId="6" borderId="12" xfId="0" applyFill="1" applyBorder="1" applyProtection="1"/>
    <xf numFmtId="0" fontId="11" fillId="0" borderId="0" xfId="0" applyFont="1" applyProtection="1"/>
    <xf numFmtId="0" fontId="0" fillId="0" borderId="6" xfId="0" applyBorder="1" applyProtection="1"/>
    <xf numFmtId="0" fontId="0" fillId="0" borderId="31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32" xfId="0" applyFill="1" applyBorder="1" applyProtection="1"/>
    <xf numFmtId="165" fontId="2" fillId="0" borderId="32" xfId="0" applyNumberFormat="1" applyFont="1" applyFill="1" applyBorder="1" applyProtection="1"/>
    <xf numFmtId="0" fontId="2" fillId="0" borderId="32" xfId="0" applyFont="1" applyFill="1" applyBorder="1" applyProtection="1"/>
    <xf numFmtId="0" fontId="2" fillId="6" borderId="24" xfId="0" applyFont="1" applyFill="1" applyBorder="1" applyAlignment="1" applyProtection="1">
      <alignment horizontal="center"/>
    </xf>
    <xf numFmtId="0" fontId="0" fillId="6" borderId="24" xfId="0" applyFill="1" applyBorder="1" applyProtection="1"/>
    <xf numFmtId="0" fontId="0" fillId="6" borderId="24" xfId="0" applyFill="1" applyBorder="1" applyAlignment="1" applyProtection="1">
      <alignment horizontal="center"/>
    </xf>
    <xf numFmtId="0" fontId="2" fillId="6" borderId="18" xfId="0" applyFont="1" applyFill="1" applyBorder="1" applyProtection="1"/>
    <xf numFmtId="0" fontId="2" fillId="6" borderId="19" xfId="0" applyFont="1" applyFill="1" applyBorder="1" applyAlignment="1" applyProtection="1">
      <alignment horizontal="center"/>
    </xf>
    <xf numFmtId="0" fontId="3" fillId="6" borderId="11" xfId="0" applyFont="1" applyFill="1" applyBorder="1" applyProtection="1"/>
    <xf numFmtId="0" fontId="9" fillId="6" borderId="0" xfId="0" applyFont="1" applyFill="1" applyBorder="1" applyAlignment="1" applyProtection="1">
      <alignment horizontal="right"/>
    </xf>
    <xf numFmtId="0" fontId="2" fillId="6" borderId="0" xfId="0" applyFont="1" applyFill="1" applyBorder="1" applyAlignment="1" applyProtection="1">
      <alignment horizontal="right"/>
    </xf>
    <xf numFmtId="166" fontId="0" fillId="6" borderId="0" xfId="0" applyNumberFormat="1" applyFill="1" applyBorder="1" applyAlignment="1" applyProtection="1">
      <alignment horizontal="center"/>
    </xf>
    <xf numFmtId="165" fontId="16" fillId="6" borderId="12" xfId="0" applyNumberFormat="1" applyFont="1" applyFill="1" applyBorder="1" applyProtection="1"/>
    <xf numFmtId="0" fontId="6" fillId="0" borderId="0" xfId="0" applyFont="1" applyFill="1" applyBorder="1" applyProtection="1"/>
    <xf numFmtId="0" fontId="2" fillId="6" borderId="0" xfId="0" applyFont="1" applyFill="1" applyBorder="1" applyAlignment="1" applyProtection="1">
      <alignment horizontal="center"/>
    </xf>
    <xf numFmtId="166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horizontal="right"/>
    </xf>
    <xf numFmtId="0" fontId="0" fillId="0" borderId="0" xfId="1" applyFont="1" applyFill="1" applyBorder="1" applyAlignment="1" applyProtection="1">
      <alignment horizontal="center" vertical="top"/>
    </xf>
    <xf numFmtId="0" fontId="3" fillId="6" borderId="0" xfId="0" applyFont="1" applyFill="1" applyBorder="1" applyProtection="1"/>
    <xf numFmtId="0" fontId="6" fillId="0" borderId="0" xfId="0" applyFont="1" applyProtection="1"/>
    <xf numFmtId="0" fontId="6" fillId="6" borderId="12" xfId="0" applyFont="1" applyFill="1" applyBorder="1" applyProtection="1"/>
    <xf numFmtId="0" fontId="2" fillId="6" borderId="11" xfId="0" quotePrefix="1" applyFont="1" applyFill="1" applyBorder="1" applyAlignment="1" applyProtection="1">
      <alignment horizontal="right"/>
    </xf>
    <xf numFmtId="0" fontId="2" fillId="6" borderId="0" xfId="0" applyFont="1" applyFill="1" applyBorder="1" applyProtection="1"/>
    <xf numFmtId="0" fontId="2" fillId="6" borderId="12" xfId="0" applyFont="1" applyFill="1" applyBorder="1" applyProtection="1"/>
    <xf numFmtId="0" fontId="2" fillId="6" borderId="11" xfId="0" applyFont="1" applyFill="1" applyBorder="1" applyAlignment="1" applyProtection="1">
      <alignment horizontal="right"/>
    </xf>
    <xf numFmtId="0" fontId="2" fillId="6" borderId="11" xfId="0" applyFont="1" applyFill="1" applyBorder="1" applyProtection="1"/>
    <xf numFmtId="166" fontId="2" fillId="6" borderId="0" xfId="0" applyNumberFormat="1" applyFont="1" applyFill="1" applyBorder="1" applyAlignment="1" applyProtection="1">
      <alignment horizontal="center"/>
    </xf>
    <xf numFmtId="0" fontId="2" fillId="6" borderId="0" xfId="0" applyNumberFormat="1" applyFont="1" applyFill="1" applyBorder="1" applyProtection="1"/>
    <xf numFmtId="164" fontId="2" fillId="6" borderId="12" xfId="6" applyFont="1" applyFill="1" applyBorder="1" applyProtection="1"/>
    <xf numFmtId="0" fontId="2" fillId="6" borderId="0" xfId="0" applyFont="1" applyFill="1" applyBorder="1" applyAlignment="1" applyProtection="1">
      <alignment horizontal="left"/>
    </xf>
    <xf numFmtId="0" fontId="2" fillId="6" borderId="13" xfId="0" applyFont="1" applyFill="1" applyBorder="1" applyProtection="1"/>
    <xf numFmtId="0" fontId="2" fillId="6" borderId="8" xfId="0" applyFont="1" applyFill="1" applyBorder="1" applyProtection="1"/>
    <xf numFmtId="0" fontId="2" fillId="6" borderId="14" xfId="0" applyFont="1" applyFill="1" applyBorder="1" applyProtection="1"/>
    <xf numFmtId="0" fontId="2" fillId="0" borderId="0" xfId="0" applyFont="1" applyProtection="1"/>
    <xf numFmtId="2" fontId="0" fillId="0" borderId="0" xfId="0" applyNumberFormat="1" applyProtection="1"/>
    <xf numFmtId="0" fontId="9" fillId="0" borderId="0" xfId="0" applyFont="1" applyAlignment="1" applyProtection="1">
      <alignment horizontal="right"/>
    </xf>
    <xf numFmtId="166" fontId="0" fillId="6" borderId="0" xfId="0" applyNumberFormat="1" applyFill="1" applyBorder="1" applyAlignment="1" applyProtection="1">
      <alignment horizontal="left"/>
    </xf>
    <xf numFmtId="0" fontId="10" fillId="0" borderId="0" xfId="0" applyFont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0" fillId="6" borderId="0" xfId="0" applyNumberFormat="1" applyFill="1" applyBorder="1" applyAlignment="1" applyProtection="1">
      <alignment horizontal="center"/>
    </xf>
    <xf numFmtId="0" fontId="1" fillId="6" borderId="0" xfId="0" applyFont="1" applyFill="1" applyBorder="1" applyProtection="1"/>
    <xf numFmtId="165" fontId="22" fillId="6" borderId="12" xfId="0" applyNumberFormat="1" applyFont="1" applyFill="1" applyBorder="1" applyProtection="1"/>
    <xf numFmtId="0" fontId="0" fillId="6" borderId="0" xfId="0" applyFill="1" applyBorder="1" applyAlignment="1" applyProtection="1">
      <alignment horizontal="center"/>
    </xf>
    <xf numFmtId="0" fontId="8" fillId="0" borderId="0" xfId="0" applyFont="1" applyProtection="1"/>
    <xf numFmtId="0" fontId="5" fillId="6" borderId="0" xfId="0" applyFont="1" applyFill="1" applyBorder="1" applyProtection="1"/>
    <xf numFmtId="0" fontId="5" fillId="6" borderId="11" xfId="0" applyFont="1" applyFill="1" applyBorder="1" applyProtection="1"/>
    <xf numFmtId="0" fontId="0" fillId="6" borderId="0" xfId="0" applyFill="1" applyBorder="1" applyAlignment="1" applyProtection="1">
      <alignment horizontal="right"/>
    </xf>
    <xf numFmtId="0" fontId="5" fillId="0" borderId="0" xfId="0" applyFont="1" applyBorder="1" applyProtection="1"/>
    <xf numFmtId="10" fontId="5" fillId="0" borderId="0" xfId="0" applyNumberFormat="1" applyFont="1" applyBorder="1" applyProtection="1"/>
    <xf numFmtId="166" fontId="17" fillId="0" borderId="0" xfId="0" applyNumberFormat="1" applyFont="1" applyBorder="1" applyProtection="1"/>
    <xf numFmtId="0" fontId="12" fillId="0" borderId="0" xfId="0" applyFont="1" applyBorder="1" applyProtection="1"/>
    <xf numFmtId="0" fontId="5" fillId="0" borderId="0" xfId="0" applyFont="1" applyProtection="1"/>
    <xf numFmtId="166" fontId="2" fillId="6" borderId="0" xfId="0" applyNumberFormat="1" applyFont="1" applyFill="1" applyBorder="1" applyProtection="1"/>
    <xf numFmtId="0" fontId="0" fillId="6" borderId="14" xfId="0" applyFill="1" applyBorder="1" applyProtection="1"/>
    <xf numFmtId="0" fontId="9" fillId="0" borderId="0" xfId="0" applyFont="1" applyProtection="1"/>
    <xf numFmtId="0" fontId="0" fillId="6" borderId="13" xfId="0" applyFill="1" applyBorder="1" applyAlignment="1" applyProtection="1">
      <alignment horizontal="center"/>
    </xf>
    <xf numFmtId="0" fontId="2" fillId="6" borderId="25" xfId="0" applyFont="1" applyFill="1" applyBorder="1" applyAlignment="1" applyProtection="1">
      <alignment horizontal="center"/>
    </xf>
    <xf numFmtId="0" fontId="0" fillId="6" borderId="25" xfId="0" applyFill="1" applyBorder="1" applyProtection="1"/>
    <xf numFmtId="0" fontId="0" fillId="6" borderId="25" xfId="0" applyFill="1" applyBorder="1" applyAlignment="1" applyProtection="1">
      <alignment horizontal="center"/>
    </xf>
    <xf numFmtId="0" fontId="2" fillId="6" borderId="20" xfId="0" applyFont="1" applyFill="1" applyBorder="1" applyProtection="1"/>
    <xf numFmtId="0" fontId="2" fillId="6" borderId="21" xfId="0" applyFont="1" applyFill="1" applyBorder="1" applyAlignment="1" applyProtection="1">
      <alignment horizontal="center"/>
    </xf>
    <xf numFmtId="0" fontId="0" fillId="0" borderId="7" xfId="0" applyBorder="1" applyProtection="1"/>
    <xf numFmtId="0" fontId="0" fillId="0" borderId="33" xfId="0" applyFill="1" applyBorder="1" applyProtection="1"/>
    <xf numFmtId="0" fontId="0" fillId="0" borderId="7" xfId="0" applyFill="1" applyBorder="1" applyAlignment="1" applyProtection="1">
      <alignment horizontal="center"/>
    </xf>
    <xf numFmtId="0" fontId="0" fillId="0" borderId="9" xfId="0" applyFill="1" applyBorder="1" applyProtection="1"/>
    <xf numFmtId="0" fontId="2" fillId="0" borderId="9" xfId="0" applyFont="1" applyFill="1" applyBorder="1" applyProtection="1"/>
    <xf numFmtId="0" fontId="16" fillId="6" borderId="0" xfId="0" applyFont="1" applyFill="1" applyAlignment="1" applyProtection="1">
      <alignment horizontal="center"/>
    </xf>
    <xf numFmtId="0" fontId="2" fillId="6" borderId="0" xfId="0" applyFont="1" applyFill="1" applyAlignment="1" applyProtection="1">
      <alignment horizontal="right"/>
    </xf>
    <xf numFmtId="165" fontId="2" fillId="6" borderId="0" xfId="0" applyNumberFormat="1" applyFont="1" applyFill="1" applyAlignment="1" applyProtection="1">
      <alignment horizontal="center"/>
    </xf>
    <xf numFmtId="165" fontId="8" fillId="6" borderId="0" xfId="0" applyNumberFormat="1" applyFont="1" applyFill="1" applyAlignment="1" applyProtection="1">
      <alignment horizontal="center"/>
    </xf>
    <xf numFmtId="0" fontId="2" fillId="6" borderId="0" xfId="0" applyNumberFormat="1" applyFont="1" applyFill="1" applyAlignment="1" applyProtection="1">
      <alignment horizontal="center"/>
    </xf>
    <xf numFmtId="0" fontId="8" fillId="6" borderId="0" xfId="0" applyFont="1" applyFill="1" applyAlignment="1" applyProtection="1">
      <alignment horizontal="center"/>
    </xf>
    <xf numFmtId="0" fontId="0" fillId="6" borderId="0" xfId="0" applyFill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5" borderId="1" xfId="0" applyFill="1" applyBorder="1" applyProtection="1">
      <protection locked="0"/>
    </xf>
    <xf numFmtId="0" fontId="3" fillId="6" borderId="27" xfId="0" applyFont="1" applyFill="1" applyBorder="1" applyAlignment="1" applyProtection="1">
      <alignment horizontal="left"/>
    </xf>
    <xf numFmtId="0" fontId="0" fillId="0" borderId="5" xfId="0" applyBorder="1" applyProtection="1"/>
    <xf numFmtId="0" fontId="0" fillId="0" borderId="1" xfId="0" applyBorder="1" applyProtection="1"/>
    <xf numFmtId="0" fontId="2" fillId="0" borderId="0" xfId="0" applyFont="1" applyBorder="1" applyProtection="1"/>
    <xf numFmtId="0" fontId="2" fillId="0" borderId="32" xfId="0" applyFont="1" applyBorder="1" applyProtection="1"/>
    <xf numFmtId="0" fontId="2" fillId="0" borderId="9" xfId="0" applyFont="1" applyBorder="1" applyProtection="1"/>
    <xf numFmtId="0" fontId="0" fillId="0" borderId="32" xfId="0" applyBorder="1" applyProtection="1"/>
    <xf numFmtId="0" fontId="0" fillId="0" borderId="1" xfId="0" applyFill="1" applyBorder="1" applyProtection="1"/>
    <xf numFmtId="165" fontId="2" fillId="0" borderId="0" xfId="0" applyNumberFormat="1" applyFont="1" applyFill="1" applyBorder="1" applyProtection="1"/>
    <xf numFmtId="2" fontId="2" fillId="0" borderId="0" xfId="0" applyNumberFormat="1" applyFont="1" applyFill="1" applyBorder="1" applyProtection="1"/>
    <xf numFmtId="165" fontId="2" fillId="0" borderId="9" xfId="0" applyNumberFormat="1" applyFont="1" applyFill="1" applyBorder="1" applyProtection="1"/>
    <xf numFmtId="14" fontId="0" fillId="6" borderId="0" xfId="0" applyNumberFormat="1" applyFill="1" applyAlignment="1" applyProtection="1">
      <alignment horizontal="right"/>
    </xf>
    <xf numFmtId="49" fontId="2" fillId="6" borderId="0" xfId="0" applyNumberFormat="1" applyFont="1" applyFill="1" applyProtection="1"/>
    <xf numFmtId="0" fontId="3" fillId="0" borderId="0" xfId="1" applyFont="1"/>
    <xf numFmtId="0" fontId="2" fillId="0" borderId="0" xfId="1"/>
    <xf numFmtId="0" fontId="2" fillId="0" borderId="0" xfId="1" applyFont="1"/>
    <xf numFmtId="0" fontId="2" fillId="0" borderId="0" xfId="1" applyAlignment="1">
      <alignment horizontal="center"/>
    </xf>
    <xf numFmtId="0" fontId="19" fillId="0" borderId="0" xfId="1" applyFont="1"/>
    <xf numFmtId="0" fontId="2" fillId="7" borderId="0" xfId="1" applyFont="1" applyFill="1" applyAlignment="1">
      <alignment vertical="top"/>
    </xf>
    <xf numFmtId="0" fontId="2" fillId="7" borderId="0" xfId="1" applyFill="1"/>
    <xf numFmtId="0" fontId="1" fillId="7" borderId="0" xfId="1" applyFont="1" applyFill="1" applyAlignment="1">
      <alignment vertical="top"/>
    </xf>
    <xf numFmtId="0" fontId="1" fillId="7" borderId="0" xfId="1" applyFont="1" applyFill="1"/>
    <xf numFmtId="0" fontId="2" fillId="0" borderId="0" xfId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/>
    <xf numFmtId="165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/>
    </xf>
    <xf numFmtId="167" fontId="2" fillId="0" borderId="0" xfId="1" applyNumberFormat="1" applyFont="1"/>
    <xf numFmtId="0" fontId="1" fillId="7" borderId="0" xfId="1" applyFont="1" applyFill="1" applyAlignment="1">
      <alignment horizontal="left" vertical="top"/>
    </xf>
    <xf numFmtId="166" fontId="2" fillId="0" borderId="0" xfId="1" applyNumberFormat="1" applyFill="1" applyBorder="1" applyAlignment="1">
      <alignment horizontal="left"/>
    </xf>
    <xf numFmtId="0" fontId="2" fillId="8" borderId="9" xfId="1" applyFont="1" applyFill="1" applyBorder="1" applyAlignment="1">
      <alignment horizontal="center"/>
    </xf>
    <xf numFmtId="0" fontId="2" fillId="8" borderId="7" xfId="1" applyFont="1" applyFill="1" applyBorder="1"/>
    <xf numFmtId="2" fontId="2" fillId="0" borderId="0" xfId="1" applyNumberFormat="1"/>
    <xf numFmtId="0" fontId="8" fillId="0" borderId="0" xfId="1" applyFont="1"/>
    <xf numFmtId="0" fontId="2" fillId="5" borderId="0" xfId="0" applyFont="1" applyFill="1" applyAlignment="1" applyProtection="1">
      <alignment horizontal="left"/>
      <protection locked="0"/>
    </xf>
    <xf numFmtId="14" fontId="0" fillId="5" borderId="0" xfId="0" applyNumberFormat="1" applyFill="1" applyAlignment="1" applyProtection="1">
      <alignment horizontal="left"/>
      <protection locked="0"/>
    </xf>
    <xf numFmtId="166" fontId="0" fillId="5" borderId="0" xfId="0" applyNumberFormat="1" applyFill="1" applyBorder="1" applyAlignment="1" applyProtection="1">
      <alignment horizontal="left"/>
      <protection locked="0"/>
    </xf>
  </cellXfs>
  <cellStyles count="7">
    <cellStyle name="Ausgabe 2" xfId="4"/>
    <cellStyle name="Berechnung 2" xfId="2"/>
    <cellStyle name="Berechnungsfeld" xfId="5"/>
    <cellStyle name="Komma" xfId="6" builtinId="3"/>
    <cellStyle name="Standard" xfId="0" builtinId="0"/>
    <cellStyle name="Standard 2" xfId="1"/>
    <cellStyle name="Zelle überprüfen 2" xfId="3"/>
  </cellStyles>
  <dxfs count="4">
    <dxf>
      <font>
        <b/>
        <i val="0"/>
        <color rgb="FFFFFF00"/>
      </font>
      <fill>
        <patternFill>
          <bgColor rgb="FF0099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99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FFFF"/>
      <color rgb="FF00FFFF"/>
      <color rgb="FFFFFF99"/>
      <color rgb="FF006600"/>
      <color rgb="FFFF00FF"/>
      <color rgb="FFFF66CC"/>
      <color rgb="FFFFFF00"/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Bland-Altman </a:t>
            </a:r>
            <a:r>
              <a:rPr lang="de-DE" sz="1100" baseline="0"/>
              <a:t>Quotienten-Diagramm</a:t>
            </a:r>
            <a:endParaRPr lang="de-DE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853378621789924E-2"/>
          <c:y val="0.13714871794871794"/>
          <c:w val="0.87761512536460773"/>
          <c:h val="0.64734908136482938"/>
        </c:manualLayout>
      </c:layout>
      <c:scatterChart>
        <c:scatterStyle val="lineMarker"/>
        <c:varyColors val="0"/>
        <c:ser>
          <c:idx val="0"/>
          <c:order val="0"/>
          <c:tx>
            <c:strRef>
              <c:f>'Bland-Altman-Diagramm'!$S$15</c:f>
              <c:strCache>
                <c:ptCount val="1"/>
                <c:pt idx="0">
                  <c:v>Qp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'Bland-Altman-Diagramm'!$R$16:$R$115</c:f>
              <c:numCache>
                <c:formatCode>General</c:formatCode>
                <c:ptCount val="100"/>
                <c:pt idx="0">
                  <c:v>16.335000000000001</c:v>
                </c:pt>
                <c:pt idx="1">
                  <c:v>26.055</c:v>
                </c:pt>
                <c:pt idx="2">
                  <c:v>3.7350000000000003</c:v>
                </c:pt>
                <c:pt idx="3">
                  <c:v>21.105</c:v>
                </c:pt>
                <c:pt idx="4">
                  <c:v>11.790000000000001</c:v>
                </c:pt>
                <c:pt idx="5">
                  <c:v>25.020000000000003</c:v>
                </c:pt>
                <c:pt idx="6">
                  <c:v>4.7699999999999996</c:v>
                </c:pt>
                <c:pt idx="7">
                  <c:v>36.540000000000006</c:v>
                </c:pt>
                <c:pt idx="8">
                  <c:v>15.345000000000002</c:v>
                </c:pt>
                <c:pt idx="9">
                  <c:v>6.0500000000000007</c:v>
                </c:pt>
                <c:pt idx="10">
                  <c:v>9.65</c:v>
                </c:pt>
                <c:pt idx="11">
                  <c:v>1.38</c:v>
                </c:pt>
                <c:pt idx="12">
                  <c:v>7.8149999999999995</c:v>
                </c:pt>
                <c:pt idx="13">
                  <c:v>4.3650000000000002</c:v>
                </c:pt>
                <c:pt idx="14">
                  <c:v>9.2650000000000006</c:v>
                </c:pt>
                <c:pt idx="15">
                  <c:v>1.77</c:v>
                </c:pt>
                <c:pt idx="16">
                  <c:v>13.535</c:v>
                </c:pt>
                <c:pt idx="17">
                  <c:v>5.6850000000000005</c:v>
                </c:pt>
                <c:pt idx="18">
                  <c:v>47.19</c:v>
                </c:pt>
                <c:pt idx="19">
                  <c:v>75.27</c:v>
                </c:pt>
                <c:pt idx="20">
                  <c:v>10.79</c:v>
                </c:pt>
                <c:pt idx="21">
                  <c:v>60.97</c:v>
                </c:pt>
                <c:pt idx="22">
                  <c:v>34.06</c:v>
                </c:pt>
                <c:pt idx="23">
                  <c:v>72.28</c:v>
                </c:pt>
                <c:pt idx="24">
                  <c:v>13.78</c:v>
                </c:pt>
                <c:pt idx="25">
                  <c:v>105.56</c:v>
                </c:pt>
                <c:pt idx="26">
                  <c:v>44.33</c:v>
                </c:pt>
                <c:pt idx="27">
                  <c:v>27.07</c:v>
                </c:pt>
                <c:pt idx="28">
                  <c:v>57.45</c:v>
                </c:pt>
                <c:pt idx="29">
                  <c:v>10.95</c:v>
                </c:pt>
                <c:pt idx="30">
                  <c:v>83.905000000000001</c:v>
                </c:pt>
                <c:pt idx="31">
                  <c:v>35.234999999999999</c:v>
                </c:pt>
                <c:pt idx="32">
                  <c:v>37.51</c:v>
                </c:pt>
                <c:pt idx="33">
                  <c:v>59.83</c:v>
                </c:pt>
                <c:pt idx="34">
                  <c:v>8.58</c:v>
                </c:pt>
                <c:pt idx="35">
                  <c:v>48.459999999999994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'Bland-Altman-Diagramm'!$S$16:$S$115</c:f>
              <c:numCache>
                <c:formatCode>General</c:formatCode>
                <c:ptCount val="100"/>
                <c:pt idx="0">
                  <c:v>1.1104651162790697</c:v>
                </c:pt>
                <c:pt idx="1">
                  <c:v>1.0034602076124568</c:v>
                </c:pt>
                <c:pt idx="2">
                  <c:v>1.243243243243243</c:v>
                </c:pt>
                <c:pt idx="3">
                  <c:v>1.0660792951541851</c:v>
                </c:pt>
                <c:pt idx="4">
                  <c:v>0.95522388059701502</c:v>
                </c:pt>
                <c:pt idx="5">
                  <c:v>1.0823970037453183</c:v>
                </c:pt>
                <c:pt idx="6">
                  <c:v>1</c:v>
                </c:pt>
                <c:pt idx="7">
                  <c:v>1.0556962025316454</c:v>
                </c:pt>
                <c:pt idx="8">
                  <c:v>1.158227848101266</c:v>
                </c:pt>
                <c:pt idx="9">
                  <c:v>1.1116928446771379</c:v>
                </c:pt>
                <c:pt idx="10">
                  <c:v>1.0041536863966769</c:v>
                </c:pt>
                <c:pt idx="11">
                  <c:v>1.2439024390243902</c:v>
                </c:pt>
                <c:pt idx="12">
                  <c:v>1.0674603174603174</c:v>
                </c:pt>
                <c:pt idx="13">
                  <c:v>0.95739910313901333</c:v>
                </c:pt>
                <c:pt idx="14">
                  <c:v>1.0820224719101124</c:v>
                </c:pt>
                <c:pt idx="15">
                  <c:v>1</c:v>
                </c:pt>
                <c:pt idx="16">
                  <c:v>1.0554290053151101</c:v>
                </c:pt>
                <c:pt idx="17">
                  <c:v>1.1574952561669831</c:v>
                </c:pt>
                <c:pt idx="18">
                  <c:v>1.11046511627907</c:v>
                </c:pt>
                <c:pt idx="19">
                  <c:v>1.0034602076124566</c:v>
                </c:pt>
                <c:pt idx="20">
                  <c:v>1.243243243243243</c:v>
                </c:pt>
                <c:pt idx="21">
                  <c:v>1.0660792951541851</c:v>
                </c:pt>
                <c:pt idx="22">
                  <c:v>0.95522388059701491</c:v>
                </c:pt>
                <c:pt idx="23">
                  <c:v>1.0823970037453183</c:v>
                </c:pt>
                <c:pt idx="24">
                  <c:v>1</c:v>
                </c:pt>
                <c:pt idx="25">
                  <c:v>1.0556962025316456</c:v>
                </c:pt>
                <c:pt idx="26">
                  <c:v>1.158227848101266</c:v>
                </c:pt>
                <c:pt idx="27">
                  <c:v>0.95521849042975793</c:v>
                </c:pt>
                <c:pt idx="28">
                  <c:v>1.0822761870242841</c:v>
                </c:pt>
                <c:pt idx="29">
                  <c:v>1</c:v>
                </c:pt>
                <c:pt idx="30">
                  <c:v>1.0557393115276246</c:v>
                </c:pt>
                <c:pt idx="31">
                  <c:v>1.1583460949464013</c:v>
                </c:pt>
                <c:pt idx="32">
                  <c:v>1.110267229254571</c:v>
                </c:pt>
                <c:pt idx="33">
                  <c:v>1.0033484011384564</c:v>
                </c:pt>
                <c:pt idx="34">
                  <c:v>1.2431372549019608</c:v>
                </c:pt>
                <c:pt idx="35">
                  <c:v>1.0660839906203368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C8-4527-B91C-A2BDFDD3856C}"/>
            </c:ext>
          </c:extLst>
        </c:ser>
        <c:ser>
          <c:idx val="1"/>
          <c:order val="1"/>
          <c:tx>
            <c:strRef>
              <c:f>'Bland-Altman-Diagramm'!$U$15</c:f>
              <c:strCache>
                <c:ptCount val="1"/>
                <c:pt idx="0">
                  <c:v>Q-quer</c:v>
                </c:pt>
              </c:strCache>
            </c:strRef>
          </c:tx>
          <c:spPr>
            <a:ln w="19050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'Bland-Altman-Diagramm'!$U$16:$U$17</c:f>
              <c:numCache>
                <c:formatCode>General</c:formatCode>
                <c:ptCount val="2"/>
                <c:pt idx="0">
                  <c:v>1.0750988244017088</c:v>
                </c:pt>
                <c:pt idx="1">
                  <c:v>1.0750988244017088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C8-4527-B91C-A2BDFDD3856C}"/>
            </c:ext>
          </c:extLst>
        </c:ser>
        <c:ser>
          <c:idx val="2"/>
          <c:order val="2"/>
          <c:tx>
            <c:strRef>
              <c:f>'Bland-Altman-Diagramm'!$V$15</c:f>
              <c:strCache>
                <c:ptCount val="1"/>
                <c:pt idx="0">
                  <c:v>KuQ</c:v>
                </c:pt>
              </c:strCache>
            </c:strRef>
          </c:tx>
          <c:spPr>
            <a:ln w="19050" cap="rnd">
              <a:solidFill>
                <a:srgbClr val="92D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'Bland-Altman-Diagramm'!$V$16:$V$17</c:f>
              <c:numCache>
                <c:formatCode>General</c:formatCode>
                <c:ptCount val="2"/>
                <c:pt idx="0">
                  <c:v>0.90678395258371258</c:v>
                </c:pt>
                <c:pt idx="1">
                  <c:v>0.90678395258371258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EC8-4527-B91C-A2BDFDD3856C}"/>
            </c:ext>
          </c:extLst>
        </c:ser>
        <c:ser>
          <c:idx val="3"/>
          <c:order val="3"/>
          <c:tx>
            <c:strRef>
              <c:f>'Bland-Altman-Diagramm'!$W$15</c:f>
              <c:strCache>
                <c:ptCount val="1"/>
                <c:pt idx="0">
                  <c:v>KoQ</c:v>
                </c:pt>
              </c:strCache>
            </c:strRef>
          </c:tx>
          <c:spPr>
            <a:ln w="19050" cap="rnd">
              <a:solidFill>
                <a:srgbClr val="92D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'Bland-Altman-Diagramm'!$W$16:$W$17</c:f>
              <c:numCache>
                <c:formatCode>General</c:formatCode>
                <c:ptCount val="2"/>
                <c:pt idx="0">
                  <c:v>1.2434136962197051</c:v>
                </c:pt>
                <c:pt idx="1">
                  <c:v>1.2434136962197051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EC8-4527-B91C-A2BDFDD3856C}"/>
            </c:ext>
          </c:extLst>
        </c:ser>
        <c:ser>
          <c:idx val="4"/>
          <c:order val="4"/>
          <c:tx>
            <c:strRef>
              <c:f>'Bland-Altman-Diagramm'!$X$15</c:f>
              <c:strCache>
                <c:ptCount val="1"/>
                <c:pt idx="0">
                  <c:v>AuQ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prstDash val="lgDashDot"/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'Bland-Altman-Diagramm'!$X$16:$X$17</c:f>
              <c:numCache>
                <c:formatCode>General</c:formatCode>
                <c:ptCount val="2"/>
                <c:pt idx="0">
                  <c:v>0.7</c:v>
                </c:pt>
                <c:pt idx="1">
                  <c:v>0.7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EC8-4527-B91C-A2BDFDD3856C}"/>
            </c:ext>
          </c:extLst>
        </c:ser>
        <c:ser>
          <c:idx val="5"/>
          <c:order val="5"/>
          <c:tx>
            <c:strRef>
              <c:f>'Bland-Altman-Diagramm'!$Y$15</c:f>
              <c:strCache>
                <c:ptCount val="1"/>
                <c:pt idx="0">
                  <c:v>AoQ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prstDash val="lgDashDot"/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'Bland-Altman-Diagramm'!$Y$16:$Y$17</c:f>
              <c:numCache>
                <c:formatCode>General</c:formatCode>
                <c:ptCount val="2"/>
                <c:pt idx="0">
                  <c:v>1.3</c:v>
                </c:pt>
                <c:pt idx="1">
                  <c:v>1.3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EC8-4527-B91C-A2BDFDD38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417432"/>
        <c:axId val="160415472"/>
      </c:scatterChart>
      <c:valAx>
        <c:axId val="160417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'Bland-Altman-Diagramm'!$E$6</c:f>
              <c:strCache>
                <c:ptCount val="1"/>
                <c:pt idx="0">
                  <c:v>µg/l</c:v>
                </c:pt>
              </c:strCache>
            </c:strRef>
          </c:tx>
          <c:layout>
            <c:manualLayout>
              <c:xMode val="edge"/>
              <c:yMode val="edge"/>
              <c:x val="0.88974141188205624"/>
              <c:y val="0.88377274379164139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415472"/>
        <c:crosses val="autoZero"/>
        <c:crossBetween val="midCat"/>
      </c:valAx>
      <c:valAx>
        <c:axId val="16041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417432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006831199842819E-2"/>
          <c:y val="0.90205079749646677"/>
          <c:w val="0.74308018599402526"/>
          <c:h val="6.9231253785584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Bland-Altman Differenzen-Diagramm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486529937182506E-2"/>
          <c:y val="0.1388577362409138"/>
          <c:w val="0.86898439064979893"/>
          <c:h val="0.69385597112860897"/>
        </c:manualLayout>
      </c:layout>
      <c:scatterChart>
        <c:scatterStyle val="lineMarker"/>
        <c:varyColors val="0"/>
        <c:ser>
          <c:idx val="0"/>
          <c:order val="0"/>
          <c:tx>
            <c:v>Dp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'Bland-Altman-Diagramm'!$R$16:$R$115</c:f>
              <c:numCache>
                <c:formatCode>General</c:formatCode>
                <c:ptCount val="100"/>
                <c:pt idx="0">
                  <c:v>16.335000000000001</c:v>
                </c:pt>
                <c:pt idx="1">
                  <c:v>26.055</c:v>
                </c:pt>
                <c:pt idx="2">
                  <c:v>3.7350000000000003</c:v>
                </c:pt>
                <c:pt idx="3">
                  <c:v>21.105</c:v>
                </c:pt>
                <c:pt idx="4">
                  <c:v>11.790000000000001</c:v>
                </c:pt>
                <c:pt idx="5">
                  <c:v>25.020000000000003</c:v>
                </c:pt>
                <c:pt idx="6">
                  <c:v>4.7699999999999996</c:v>
                </c:pt>
                <c:pt idx="7">
                  <c:v>36.540000000000006</c:v>
                </c:pt>
                <c:pt idx="8">
                  <c:v>15.345000000000002</c:v>
                </c:pt>
                <c:pt idx="9">
                  <c:v>6.0500000000000007</c:v>
                </c:pt>
                <c:pt idx="10">
                  <c:v>9.65</c:v>
                </c:pt>
                <c:pt idx="11">
                  <c:v>1.38</c:v>
                </c:pt>
                <c:pt idx="12">
                  <c:v>7.8149999999999995</c:v>
                </c:pt>
                <c:pt idx="13">
                  <c:v>4.3650000000000002</c:v>
                </c:pt>
                <c:pt idx="14">
                  <c:v>9.2650000000000006</c:v>
                </c:pt>
                <c:pt idx="15">
                  <c:v>1.77</c:v>
                </c:pt>
                <c:pt idx="16">
                  <c:v>13.535</c:v>
                </c:pt>
                <c:pt idx="17">
                  <c:v>5.6850000000000005</c:v>
                </c:pt>
                <c:pt idx="18">
                  <c:v>47.19</c:v>
                </c:pt>
                <c:pt idx="19">
                  <c:v>75.27</c:v>
                </c:pt>
                <c:pt idx="20">
                  <c:v>10.79</c:v>
                </c:pt>
                <c:pt idx="21">
                  <c:v>60.97</c:v>
                </c:pt>
                <c:pt idx="22">
                  <c:v>34.06</c:v>
                </c:pt>
                <c:pt idx="23">
                  <c:v>72.28</c:v>
                </c:pt>
                <c:pt idx="24">
                  <c:v>13.78</c:v>
                </c:pt>
                <c:pt idx="25">
                  <c:v>105.56</c:v>
                </c:pt>
                <c:pt idx="26">
                  <c:v>44.33</c:v>
                </c:pt>
                <c:pt idx="27">
                  <c:v>27.07</c:v>
                </c:pt>
                <c:pt idx="28">
                  <c:v>57.45</c:v>
                </c:pt>
                <c:pt idx="29">
                  <c:v>10.95</c:v>
                </c:pt>
                <c:pt idx="30">
                  <c:v>83.905000000000001</c:v>
                </c:pt>
                <c:pt idx="31">
                  <c:v>35.234999999999999</c:v>
                </c:pt>
                <c:pt idx="32">
                  <c:v>37.51</c:v>
                </c:pt>
                <c:pt idx="33">
                  <c:v>59.83</c:v>
                </c:pt>
                <c:pt idx="34">
                  <c:v>8.58</c:v>
                </c:pt>
                <c:pt idx="35">
                  <c:v>48.459999999999994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'Bland-Altman-Diagramm'!$AA$16:$AA$115</c:f>
              <c:numCache>
                <c:formatCode>General</c:formatCode>
                <c:ptCount val="100"/>
                <c:pt idx="0">
                  <c:v>1.7100000000000009</c:v>
                </c:pt>
                <c:pt idx="1">
                  <c:v>8.9999999999999858E-2</c:v>
                </c:pt>
                <c:pt idx="2">
                  <c:v>0.80999999999999917</c:v>
                </c:pt>
                <c:pt idx="3">
                  <c:v>1.3500000000000014</c:v>
                </c:pt>
                <c:pt idx="4">
                  <c:v>-0.53999999999999915</c:v>
                </c:pt>
                <c:pt idx="5">
                  <c:v>1.9800000000000004</c:v>
                </c:pt>
                <c:pt idx="6">
                  <c:v>0</c:v>
                </c:pt>
                <c:pt idx="7">
                  <c:v>1.9799999999999969</c:v>
                </c:pt>
                <c:pt idx="8">
                  <c:v>2.2500000000000018</c:v>
                </c:pt>
                <c:pt idx="9">
                  <c:v>0.63999999999999968</c:v>
                </c:pt>
                <c:pt idx="10">
                  <c:v>3.9999999999999147E-2</c:v>
                </c:pt>
                <c:pt idx="11">
                  <c:v>0.30000000000000004</c:v>
                </c:pt>
                <c:pt idx="12">
                  <c:v>0.51000000000000068</c:v>
                </c:pt>
                <c:pt idx="13">
                  <c:v>-0.19000000000000039</c:v>
                </c:pt>
                <c:pt idx="14">
                  <c:v>0.73000000000000043</c:v>
                </c:pt>
                <c:pt idx="15">
                  <c:v>0</c:v>
                </c:pt>
                <c:pt idx="16">
                  <c:v>0.73000000000000043</c:v>
                </c:pt>
                <c:pt idx="17">
                  <c:v>0.83000000000000096</c:v>
                </c:pt>
                <c:pt idx="18">
                  <c:v>4.9400000000000048</c:v>
                </c:pt>
                <c:pt idx="19">
                  <c:v>0.25999999999999091</c:v>
                </c:pt>
                <c:pt idx="20">
                  <c:v>2.3399999999999981</c:v>
                </c:pt>
                <c:pt idx="21">
                  <c:v>3.8999999999999986</c:v>
                </c:pt>
                <c:pt idx="22">
                  <c:v>-1.5600000000000023</c:v>
                </c:pt>
                <c:pt idx="23">
                  <c:v>5.7199999999999989</c:v>
                </c:pt>
                <c:pt idx="24">
                  <c:v>0</c:v>
                </c:pt>
                <c:pt idx="25">
                  <c:v>5.7200000000000131</c:v>
                </c:pt>
                <c:pt idx="26">
                  <c:v>6.5000000000000071</c:v>
                </c:pt>
                <c:pt idx="27">
                  <c:v>-1.240000000000002</c:v>
                </c:pt>
                <c:pt idx="28">
                  <c:v>4.5399999999999991</c:v>
                </c:pt>
                <c:pt idx="29">
                  <c:v>0</c:v>
                </c:pt>
                <c:pt idx="30">
                  <c:v>4.5499999999999972</c:v>
                </c:pt>
                <c:pt idx="31">
                  <c:v>5.1700000000000017</c:v>
                </c:pt>
                <c:pt idx="32">
                  <c:v>3.9200000000000017</c:v>
                </c:pt>
                <c:pt idx="33">
                  <c:v>0.20000000000000284</c:v>
                </c:pt>
                <c:pt idx="34">
                  <c:v>1.8599999999999994</c:v>
                </c:pt>
                <c:pt idx="35">
                  <c:v>3.1000000000000014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30-477D-A060-24A94C84A548}"/>
            </c:ext>
          </c:extLst>
        </c:ser>
        <c:ser>
          <c:idx val="1"/>
          <c:order val="1"/>
          <c:tx>
            <c:strRef>
              <c:f>'Bland-Altman-Diagramm'!$AB$15</c:f>
              <c:strCache>
                <c:ptCount val="1"/>
                <c:pt idx="0">
                  <c:v>D-quer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'Bland-Altman-Diagramm'!$AB$16:$AB$17</c:f>
              <c:numCache>
                <c:formatCode>General</c:formatCode>
                <c:ptCount val="2"/>
                <c:pt idx="0">
                  <c:v>1.7538888888888893</c:v>
                </c:pt>
                <c:pt idx="1">
                  <c:v>1.7538888888888893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30-477D-A060-24A94C84A548}"/>
            </c:ext>
          </c:extLst>
        </c:ser>
        <c:ser>
          <c:idx val="2"/>
          <c:order val="2"/>
          <c:tx>
            <c:strRef>
              <c:f>'Bland-Altman-Diagramm'!$AC$15</c:f>
              <c:strCache>
                <c:ptCount val="1"/>
                <c:pt idx="0">
                  <c:v>KuD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'Bland-Altman-Diagramm'!$AC$16:$AC$17</c:f>
              <c:numCache>
                <c:formatCode>General</c:formatCode>
                <c:ptCount val="2"/>
                <c:pt idx="0">
                  <c:v>-2.572126176873871</c:v>
                </c:pt>
                <c:pt idx="1">
                  <c:v>-2.572126176873871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30-477D-A060-24A94C84A548}"/>
            </c:ext>
          </c:extLst>
        </c:ser>
        <c:ser>
          <c:idx val="3"/>
          <c:order val="3"/>
          <c:tx>
            <c:strRef>
              <c:f>'Bland-Altman-Diagramm'!$AD$15</c:f>
              <c:strCache>
                <c:ptCount val="1"/>
                <c:pt idx="0">
                  <c:v>KoD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'Bland-Altman-Diagramm'!$AD$16:$AD$17</c:f>
              <c:numCache>
                <c:formatCode>General</c:formatCode>
                <c:ptCount val="2"/>
                <c:pt idx="0">
                  <c:v>6.07990395465165</c:v>
                </c:pt>
                <c:pt idx="1">
                  <c:v>6.07990395465165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30-477D-A060-24A94C84A548}"/>
            </c:ext>
          </c:extLst>
        </c:ser>
        <c:ser>
          <c:idx val="4"/>
          <c:order val="4"/>
          <c:tx>
            <c:strRef>
              <c:f>'Bland-Altman-Diagramm'!$AE$15</c:f>
              <c:strCache>
                <c:ptCount val="1"/>
                <c:pt idx="0">
                  <c:v>AuD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'Bland-Altman-Diagramm'!$AE$16:$AE$17</c:f>
              <c:numCache>
                <c:formatCode>0.000</c:formatCode>
                <c:ptCount val="2"/>
                <c:pt idx="0">
                  <c:v>-31.667999999999999</c:v>
                </c:pt>
                <c:pt idx="1">
                  <c:v>-31.667999999999999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C-4C9A-BF5B-7F0B46C389CF}"/>
            </c:ext>
          </c:extLst>
        </c:ser>
        <c:ser>
          <c:idx val="5"/>
          <c:order val="5"/>
          <c:tx>
            <c:strRef>
              <c:f>'Bland-Altman-Diagramm'!$AF$15</c:f>
              <c:strCache>
                <c:ptCount val="1"/>
                <c:pt idx="0">
                  <c:v>AoD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'Bland-Altman-Diagramm'!$T$16:$T$17</c:f>
              <c:numCache>
                <c:formatCode>General</c:formatCode>
                <c:ptCount val="2"/>
                <c:pt idx="0">
                  <c:v>1.38</c:v>
                </c:pt>
                <c:pt idx="1">
                  <c:v>105.56</c:v>
                </c:pt>
              </c:numCache>
            </c:numRef>
          </c:xVal>
          <c:yVal>
            <c:numRef>
              <c:f>'Bland-Altman-Diagramm'!$AF$16:$AF$17</c:f>
              <c:numCache>
                <c:formatCode>General</c:formatCode>
                <c:ptCount val="2"/>
                <c:pt idx="0">
                  <c:v>31.667999999999999</c:v>
                </c:pt>
                <c:pt idx="1">
                  <c:v>31.667999999999999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C-4C9A-BF5B-7F0B46C38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415864"/>
        <c:axId val="160416256"/>
      </c:scatterChart>
      <c:valAx>
        <c:axId val="160415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'Bland-Altman-Diagramm'!$E$6</c:f>
              <c:strCache>
                <c:ptCount val="1"/>
                <c:pt idx="0">
                  <c:v>µg/l</c:v>
                </c:pt>
              </c:strCache>
            </c:strRef>
          </c:tx>
          <c:layout>
            <c:manualLayout>
              <c:xMode val="edge"/>
              <c:yMode val="edge"/>
              <c:x val="0.88543611854328108"/>
              <c:y val="0.87874179790026252"/>
            </c:manualLayout>
          </c:layout>
          <c:overlay val="0"/>
          <c:txPr>
            <a:bodyPr/>
            <a:lstStyle/>
            <a:p>
              <a:pPr>
                <a:defRPr b="0"/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416256"/>
        <c:crosses val="autoZero"/>
        <c:crossBetween val="midCat"/>
      </c:valAx>
      <c:valAx>
        <c:axId val="16041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'Bland-Altman-Diagramm'!$E$6</c:f>
              <c:strCache>
                <c:ptCount val="1"/>
                <c:pt idx="0">
                  <c:v>µg/l</c:v>
                </c:pt>
              </c:strCache>
            </c:strRef>
          </c:tx>
          <c:layout>
            <c:manualLayout>
              <c:xMode val="edge"/>
              <c:yMode val="edge"/>
              <c:x val="1.8264840182648401E-2"/>
              <c:y val="3.041446921938493E-2"/>
            </c:manualLayout>
          </c:layout>
          <c:overlay val="0"/>
          <c:txPr>
            <a:bodyPr rot="0" vert="horz"/>
            <a:lstStyle/>
            <a:p>
              <a:pPr>
                <a:defRPr b="0"/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415864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553918992506113E-2"/>
          <c:y val="0.88802034120734907"/>
          <c:w val="0.72104307850108029"/>
          <c:h val="7.0312992125984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761999</xdr:colOff>
      <xdr:row>22</xdr:row>
      <xdr:rowOff>66674</xdr:rowOff>
    </xdr:from>
    <xdr:to>
      <xdr:col>15</xdr:col>
      <xdr:colOff>733425</xdr:colOff>
      <xdr:row>41</xdr:row>
      <xdr:rowOff>85724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68</xdr:row>
      <xdr:rowOff>9524</xdr:rowOff>
    </xdr:from>
    <xdr:to>
      <xdr:col>15</xdr:col>
      <xdr:colOff>742950</xdr:colOff>
      <xdr:row>86</xdr:row>
      <xdr:rowOff>142874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315383</xdr:colOff>
      <xdr:row>13</xdr:row>
      <xdr:rowOff>162984</xdr:rowOff>
    </xdr:from>
    <xdr:ext cx="177548" cy="1826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2241550" y="2343151"/>
              <a:ext cx="177548" cy="1826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sub>
                    </m:sSub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2241550" y="2343151"/>
              <a:ext cx="177548" cy="1826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𝑥 ̅_𝑝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9</xdr:col>
      <xdr:colOff>311635</xdr:colOff>
      <xdr:row>43</xdr:row>
      <xdr:rowOff>36469</xdr:rowOff>
    </xdr:from>
    <xdr:ext cx="131383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6337079" y="7127302"/>
              <a:ext cx="131383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</m:acc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6337079" y="7127302"/>
              <a:ext cx="131383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𝑄 ̅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9</xdr:col>
      <xdr:colOff>301272</xdr:colOff>
      <xdr:row>87</xdr:row>
      <xdr:rowOff>160161</xdr:rowOff>
    </xdr:from>
    <xdr:ext cx="133626" cy="1751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6326716" y="14567605"/>
              <a:ext cx="133626" cy="1751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e>
                    </m:acc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6326716" y="14567605"/>
              <a:ext cx="133626" cy="1751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𝐷 ̅</a:t>
              </a:r>
              <a:endParaRPr lang="de-DE" sz="1100"/>
            </a:p>
          </xdr:txBody>
        </xdr:sp>
      </mc:Fallback>
    </mc:AlternateContent>
    <xdr:clientData/>
  </xdr:oneCellAnchor>
  <xdr:twoCellAnchor>
    <xdr:from>
      <xdr:col>9</xdr:col>
      <xdr:colOff>631031</xdr:colOff>
      <xdr:row>2</xdr:row>
      <xdr:rowOff>11906</xdr:rowOff>
    </xdr:from>
    <xdr:to>
      <xdr:col>15</xdr:col>
      <xdr:colOff>59531</xdr:colOff>
      <xdr:row>11</xdr:row>
      <xdr:rowOff>59531</xdr:rowOff>
    </xdr:to>
    <xdr:sp macro="" textlink="">
      <xdr:nvSpPr>
        <xdr:cNvPr id="5" name="Textfeld 4"/>
        <xdr:cNvSpPr txBox="1"/>
      </xdr:nvSpPr>
      <xdr:spPr>
        <a:xfrm>
          <a:off x="6357937" y="381000"/>
          <a:ext cx="4298157" cy="1583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Dieses Excel-Programm soll den</a:t>
          </a:r>
          <a:r>
            <a:rPr lang="de-DE" sz="1100" baseline="0"/>
            <a:t> Anwender der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DIN 38 402 - 71 (2020) </a:t>
          </a:r>
          <a:r>
            <a:rPr lang="de-DE" sz="1100"/>
            <a:t>bei der Prüfung auf Gleichwertigkeit unterstützen.</a:t>
          </a:r>
        </a:p>
        <a:p>
          <a:r>
            <a:rPr lang="de-DE" sz="1100"/>
            <a:t>Die Ziffern in Klammern hinter den Formelzeichen beziehen sich auf die Gleichungen in der genannten Norm.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Benutzerdefinier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0000"/>
      </a:accent1>
      <a:accent2>
        <a:srgbClr val="008000"/>
      </a:accent2>
      <a:accent3>
        <a:srgbClr val="0000FF"/>
      </a:accent3>
      <a:accent4>
        <a:srgbClr val="FF00FF"/>
      </a:accent4>
      <a:accent5>
        <a:srgbClr val="FFFF00"/>
      </a:accent5>
      <a:accent6>
        <a:srgbClr val="F79646"/>
      </a:accent6>
      <a:hlink>
        <a:srgbClr val="663300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K133"/>
  <sheetViews>
    <sheetView tabSelected="1" zoomScale="80" zoomScaleNormal="80" workbookViewId="0">
      <selection activeCell="E3" sqref="E3:I3"/>
    </sheetView>
  </sheetViews>
  <sheetFormatPr baseColWidth="10" defaultColWidth="10.875" defaultRowHeight="12.9" x14ac:dyDescent="0.2"/>
  <cols>
    <col min="1" max="1" width="5.75" style="21" customWidth="1"/>
    <col min="2" max="3" width="10.875" style="21"/>
    <col min="4" max="4" width="12.75" style="21" customWidth="1"/>
    <col min="5" max="5" width="10.875" style="21"/>
    <col min="6" max="6" width="5.75" style="21" customWidth="1"/>
    <col min="7" max="7" width="12.5" style="21" customWidth="1"/>
    <col min="8" max="8" width="5.75" style="128" customWidth="1"/>
    <col min="9" max="14" width="10.875" style="21"/>
    <col min="15" max="15" width="18.5" style="21" customWidth="1"/>
    <col min="16" max="16" width="13.25" style="21" customWidth="1"/>
    <col min="17" max="25" width="10.875" style="21"/>
    <col min="26" max="26" width="4.75" style="21" customWidth="1"/>
    <col min="27" max="27" width="10.875" style="21"/>
    <col min="28" max="31" width="11.5" style="16"/>
    <col min="32" max="32" width="6.5" style="17" customWidth="1"/>
    <col min="33" max="37" width="11.5" style="16" customWidth="1"/>
    <col min="38" max="16384" width="10.875" style="21"/>
  </cols>
  <sheetData>
    <row r="1" spans="1:37" s="15" customFormat="1" ht="15.65" x14ac:dyDescent="0.25">
      <c r="A1" s="8" t="s">
        <v>19</v>
      </c>
      <c r="B1" s="9"/>
      <c r="C1" s="9"/>
      <c r="D1" s="9"/>
      <c r="E1" s="9"/>
      <c r="F1" s="9"/>
      <c r="G1" s="9"/>
      <c r="H1" s="10"/>
      <c r="I1" s="122"/>
      <c r="J1" s="11"/>
      <c r="K1" s="12"/>
      <c r="L1" s="11"/>
      <c r="M1" s="13"/>
      <c r="N1" s="14"/>
      <c r="O1" s="9"/>
      <c r="P1" s="9"/>
      <c r="AB1" s="16"/>
      <c r="AC1" s="17"/>
      <c r="AD1" s="18"/>
      <c r="AE1" s="16"/>
      <c r="AF1" s="16"/>
      <c r="AG1" s="16"/>
      <c r="AH1" s="16"/>
    </row>
    <row r="2" spans="1:37" x14ac:dyDescent="0.2">
      <c r="A2" s="19" t="s">
        <v>84</v>
      </c>
      <c r="B2" s="20"/>
      <c r="C2" s="9"/>
      <c r="D2" s="9"/>
      <c r="E2" s="9"/>
      <c r="F2" s="9"/>
      <c r="G2" s="9"/>
      <c r="H2" s="19"/>
      <c r="I2" s="141" t="s">
        <v>83</v>
      </c>
      <c r="J2" s="11"/>
      <c r="K2" s="12"/>
      <c r="L2" s="11"/>
      <c r="M2" s="13"/>
      <c r="N2" s="14"/>
      <c r="O2" s="9"/>
      <c r="P2" s="9"/>
      <c r="AC2" s="17"/>
      <c r="AD2" s="18"/>
      <c r="AF2" s="16"/>
      <c r="AI2" s="21"/>
      <c r="AJ2" s="21"/>
      <c r="AK2" s="21"/>
    </row>
    <row r="3" spans="1:37" ht="13.6" x14ac:dyDescent="0.25">
      <c r="A3" s="22"/>
      <c r="B3" s="23" t="s">
        <v>23</v>
      </c>
      <c r="C3" s="9"/>
      <c r="D3" s="9"/>
      <c r="E3" s="164" t="s">
        <v>43</v>
      </c>
      <c r="F3" s="164"/>
      <c r="G3" s="164"/>
      <c r="H3" s="164"/>
      <c r="I3" s="164"/>
      <c r="J3" s="12"/>
      <c r="K3" s="142"/>
      <c r="L3" s="11"/>
      <c r="M3" s="13"/>
      <c r="N3" s="14"/>
      <c r="O3" s="9"/>
      <c r="P3" s="9"/>
      <c r="AC3" s="17"/>
      <c r="AD3" s="18"/>
      <c r="AF3" s="16"/>
      <c r="AI3" s="21"/>
      <c r="AJ3" s="21"/>
      <c r="AK3" s="21"/>
    </row>
    <row r="4" spans="1:37" ht="13.6" x14ac:dyDescent="0.25">
      <c r="A4" s="22"/>
      <c r="B4" s="23" t="s">
        <v>24</v>
      </c>
      <c r="C4" s="9"/>
      <c r="D4" s="9"/>
      <c r="E4" s="164" t="s">
        <v>44</v>
      </c>
      <c r="F4" s="164"/>
      <c r="G4" s="164"/>
      <c r="H4" s="164"/>
      <c r="I4" s="164"/>
      <c r="J4" s="12"/>
      <c r="K4" s="24"/>
      <c r="L4" s="11"/>
      <c r="M4" s="13"/>
      <c r="N4" s="14"/>
      <c r="O4" s="9"/>
      <c r="P4" s="9"/>
      <c r="AC4" s="17"/>
      <c r="AD4" s="18"/>
      <c r="AF4" s="16"/>
      <c r="AI4" s="21"/>
      <c r="AJ4" s="21"/>
      <c r="AK4" s="21"/>
    </row>
    <row r="5" spans="1:37" ht="13.6" x14ac:dyDescent="0.25">
      <c r="A5" s="22"/>
      <c r="B5" s="23" t="s">
        <v>25</v>
      </c>
      <c r="C5" s="9"/>
      <c r="D5" s="9"/>
      <c r="E5" s="164" t="s">
        <v>13</v>
      </c>
      <c r="F5" s="164"/>
      <c r="G5" s="164"/>
      <c r="H5" s="164"/>
      <c r="I5" s="164"/>
      <c r="J5" s="12"/>
      <c r="K5" s="19"/>
      <c r="L5" s="11"/>
      <c r="M5" s="13"/>
      <c r="N5" s="14"/>
      <c r="O5" s="9"/>
      <c r="P5" s="9"/>
      <c r="AC5" s="17"/>
      <c r="AD5" s="18"/>
      <c r="AF5" s="16"/>
      <c r="AI5" s="21"/>
      <c r="AJ5" s="21"/>
      <c r="AK5" s="21"/>
    </row>
    <row r="6" spans="1:37" ht="13.6" x14ac:dyDescent="0.25">
      <c r="A6" s="22"/>
      <c r="B6" s="23" t="s">
        <v>26</v>
      </c>
      <c r="C6" s="9"/>
      <c r="D6" s="9"/>
      <c r="E6" s="164" t="s">
        <v>1</v>
      </c>
      <c r="F6" s="164"/>
      <c r="G6" s="164"/>
      <c r="H6" s="164"/>
      <c r="I6" s="164"/>
      <c r="J6" s="12"/>
      <c r="K6" s="12"/>
      <c r="L6" s="11"/>
      <c r="M6" s="13"/>
      <c r="N6" s="14"/>
      <c r="O6" s="9"/>
      <c r="P6" s="9"/>
      <c r="AC6" s="17"/>
      <c r="AD6" s="18"/>
      <c r="AF6" s="16"/>
      <c r="AI6" s="21"/>
      <c r="AJ6" s="21"/>
      <c r="AK6" s="21"/>
    </row>
    <row r="7" spans="1:37" ht="13.6" x14ac:dyDescent="0.25">
      <c r="A7" s="22"/>
      <c r="B7" s="23" t="s">
        <v>30</v>
      </c>
      <c r="C7" s="9"/>
      <c r="D7" s="9"/>
      <c r="E7" s="164" t="s">
        <v>45</v>
      </c>
      <c r="F7" s="164"/>
      <c r="G7" s="164"/>
      <c r="H7" s="164"/>
      <c r="I7" s="164"/>
      <c r="J7" s="12"/>
      <c r="K7" s="12"/>
      <c r="L7" s="11"/>
      <c r="M7" s="13"/>
      <c r="N7" s="14"/>
      <c r="O7" s="9"/>
      <c r="P7" s="9"/>
      <c r="AC7" s="17"/>
      <c r="AD7" s="18"/>
      <c r="AF7" s="16"/>
      <c r="AI7" s="21"/>
      <c r="AJ7" s="21"/>
      <c r="AK7" s="21"/>
    </row>
    <row r="8" spans="1:37" ht="13.6" x14ac:dyDescent="0.25">
      <c r="A8" s="22"/>
      <c r="B8" s="23" t="s">
        <v>31</v>
      </c>
      <c r="C8" s="9"/>
      <c r="D8" s="9"/>
      <c r="E8" s="164" t="s">
        <v>47</v>
      </c>
      <c r="F8" s="164"/>
      <c r="G8" s="164"/>
      <c r="H8" s="164"/>
      <c r="I8" s="164"/>
      <c r="J8" s="12"/>
      <c r="K8" s="12"/>
      <c r="L8" s="11"/>
      <c r="M8" s="13"/>
      <c r="N8" s="14"/>
      <c r="O8" s="9"/>
      <c r="P8" s="9"/>
      <c r="AC8" s="17"/>
      <c r="AD8" s="18"/>
      <c r="AF8" s="16"/>
      <c r="AI8" s="21"/>
      <c r="AJ8" s="21"/>
      <c r="AK8" s="21"/>
    </row>
    <row r="9" spans="1:37" ht="17" x14ac:dyDescent="0.25">
      <c r="A9" s="22"/>
      <c r="B9" s="25" t="s">
        <v>65</v>
      </c>
      <c r="C9" s="9"/>
      <c r="D9" s="9"/>
      <c r="E9" s="166">
        <v>0.3</v>
      </c>
      <c r="F9" s="166"/>
      <c r="G9" s="166"/>
      <c r="H9" s="166"/>
      <c r="I9" s="166"/>
      <c r="J9" s="12"/>
      <c r="K9" s="12"/>
      <c r="L9" s="11"/>
      <c r="M9" s="13"/>
      <c r="N9" s="14"/>
      <c r="O9" s="9"/>
      <c r="P9" s="9"/>
      <c r="AC9" s="17"/>
      <c r="AD9" s="18"/>
      <c r="AF9" s="16"/>
      <c r="AI9" s="21"/>
      <c r="AJ9" s="21"/>
      <c r="AK9" s="21"/>
    </row>
    <row r="10" spans="1:37" ht="13.6" x14ac:dyDescent="0.25">
      <c r="A10" s="22"/>
      <c r="B10" s="26" t="s">
        <v>27</v>
      </c>
      <c r="C10" s="9"/>
      <c r="D10" s="9"/>
      <c r="E10" s="164" t="s">
        <v>46</v>
      </c>
      <c r="F10" s="164"/>
      <c r="G10" s="164"/>
      <c r="H10" s="164"/>
      <c r="I10" s="164"/>
      <c r="J10" s="12"/>
      <c r="K10" s="12"/>
      <c r="L10" s="11"/>
      <c r="M10" s="13"/>
      <c r="N10" s="14"/>
      <c r="O10" s="9"/>
      <c r="P10" s="9"/>
      <c r="AC10" s="17"/>
      <c r="AD10" s="18"/>
      <c r="AF10" s="16"/>
      <c r="AI10" s="21"/>
      <c r="AJ10" s="21"/>
      <c r="AK10" s="21"/>
    </row>
    <row r="11" spans="1:37" ht="13.6" x14ac:dyDescent="0.25">
      <c r="A11" s="22"/>
      <c r="B11" s="23" t="s">
        <v>28</v>
      </c>
      <c r="C11" s="9"/>
      <c r="D11" s="9"/>
      <c r="E11" s="165">
        <v>43831</v>
      </c>
      <c r="F11" s="165"/>
      <c r="G11" s="165"/>
      <c r="H11" s="165"/>
      <c r="I11" s="165"/>
      <c r="J11" s="12"/>
      <c r="K11" s="12"/>
      <c r="L11" s="11"/>
      <c r="M11" s="13"/>
      <c r="N11" s="14"/>
      <c r="O11" s="9"/>
      <c r="P11" s="9"/>
      <c r="AC11" s="17"/>
      <c r="AD11" s="18"/>
      <c r="AF11" s="16"/>
      <c r="AI11" s="21"/>
      <c r="AJ11" s="21"/>
      <c r="AK11" s="21"/>
    </row>
    <row r="12" spans="1:37" ht="13.6" x14ac:dyDescent="0.25">
      <c r="A12" s="22"/>
      <c r="B12" s="26" t="s">
        <v>29</v>
      </c>
      <c r="C12" s="9"/>
      <c r="D12" s="9"/>
      <c r="E12" s="164" t="s">
        <v>48</v>
      </c>
      <c r="F12" s="164"/>
      <c r="G12" s="164"/>
      <c r="H12" s="164"/>
      <c r="I12" s="164"/>
      <c r="J12" s="12"/>
      <c r="K12" s="12"/>
      <c r="L12" s="11"/>
      <c r="M12" s="13"/>
      <c r="N12" s="14"/>
      <c r="O12" s="9"/>
      <c r="P12" s="9"/>
      <c r="AC12" s="17"/>
      <c r="AD12" s="18"/>
      <c r="AF12" s="16"/>
      <c r="AI12" s="21"/>
      <c r="AJ12" s="21"/>
      <c r="AK12" s="21"/>
    </row>
    <row r="13" spans="1:37" ht="13.6" x14ac:dyDescent="0.25">
      <c r="A13" s="22"/>
      <c r="B13" s="23" t="s">
        <v>28</v>
      </c>
      <c r="C13" s="9"/>
      <c r="D13" s="9"/>
      <c r="E13" s="165">
        <v>43832</v>
      </c>
      <c r="F13" s="165"/>
      <c r="G13" s="165"/>
      <c r="H13" s="165"/>
      <c r="I13" s="165"/>
      <c r="J13" s="12"/>
      <c r="K13" s="12"/>
      <c r="L13" s="11"/>
      <c r="M13" s="13"/>
      <c r="N13" s="14"/>
      <c r="O13" s="9"/>
      <c r="P13" s="9"/>
      <c r="S13" s="87" t="s">
        <v>75</v>
      </c>
      <c r="AA13" s="87" t="s">
        <v>76</v>
      </c>
      <c r="AC13" s="17"/>
      <c r="AD13" s="18"/>
      <c r="AF13" s="16"/>
      <c r="AI13" s="21"/>
      <c r="AJ13" s="21"/>
      <c r="AK13" s="21"/>
    </row>
    <row r="14" spans="1:37" ht="13.6" thickBot="1" x14ac:dyDescent="0.25">
      <c r="A14" s="9"/>
      <c r="B14" s="19"/>
      <c r="C14" s="9"/>
      <c r="D14" s="9"/>
      <c r="E14" s="9"/>
      <c r="F14" s="9"/>
      <c r="G14" s="9"/>
      <c r="H14" s="10"/>
      <c r="I14" s="9"/>
      <c r="J14" s="19"/>
      <c r="K14" s="9"/>
      <c r="L14" s="9"/>
      <c r="M14" s="9"/>
      <c r="N14" s="9"/>
      <c r="O14" s="9"/>
      <c r="P14" s="9"/>
      <c r="Q14" s="27"/>
      <c r="R14" s="27"/>
      <c r="S14" s="27"/>
      <c r="T14" s="27"/>
      <c r="AC14" s="17"/>
      <c r="AF14" s="16"/>
      <c r="AI14" s="21"/>
      <c r="AJ14" s="21"/>
      <c r="AK14" s="21"/>
    </row>
    <row r="15" spans="1:37" ht="17.7" thickBot="1" x14ac:dyDescent="0.4">
      <c r="A15" s="28" t="s">
        <v>20</v>
      </c>
      <c r="B15" s="29" t="s">
        <v>21</v>
      </c>
      <c r="C15" s="30" t="s">
        <v>22</v>
      </c>
      <c r="D15" s="31" t="s">
        <v>58</v>
      </c>
      <c r="E15" s="28" t="s">
        <v>57</v>
      </c>
      <c r="F15" s="32" t="s">
        <v>62</v>
      </c>
      <c r="G15" s="28" t="s">
        <v>56</v>
      </c>
      <c r="H15" s="32" t="s">
        <v>62</v>
      </c>
      <c r="I15" s="9"/>
      <c r="J15" s="33" t="s">
        <v>53</v>
      </c>
      <c r="K15" s="34"/>
      <c r="L15" s="34"/>
      <c r="M15" s="130" t="s">
        <v>52</v>
      </c>
      <c r="N15" s="34"/>
      <c r="O15" s="34"/>
      <c r="P15" s="35"/>
      <c r="R15" s="132" t="s">
        <v>78</v>
      </c>
      <c r="S15" s="132" t="s">
        <v>79</v>
      </c>
      <c r="T15" s="132" t="s">
        <v>81</v>
      </c>
      <c r="U15" s="36" t="s">
        <v>7</v>
      </c>
      <c r="V15" s="36" t="s">
        <v>4</v>
      </c>
      <c r="W15" s="36" t="s">
        <v>5</v>
      </c>
      <c r="X15" s="37" t="s">
        <v>10</v>
      </c>
      <c r="Y15" s="37" t="s">
        <v>11</v>
      </c>
      <c r="AA15" s="137" t="s">
        <v>82</v>
      </c>
      <c r="AB15" s="38" t="s">
        <v>6</v>
      </c>
      <c r="AC15" s="38" t="s">
        <v>2</v>
      </c>
      <c r="AD15" s="38" t="s">
        <v>3</v>
      </c>
      <c r="AE15" s="39" t="s">
        <v>8</v>
      </c>
      <c r="AF15" s="39" t="s">
        <v>9</v>
      </c>
      <c r="AG15" s="40"/>
      <c r="AI15" s="21"/>
      <c r="AJ15" s="21"/>
      <c r="AK15" s="21"/>
    </row>
    <row r="16" spans="1:37" x14ac:dyDescent="0.2">
      <c r="A16" s="41">
        <v>1</v>
      </c>
      <c r="B16" s="6">
        <v>15.48</v>
      </c>
      <c r="C16" s="4">
        <v>17.190000000000001</v>
      </c>
      <c r="D16" s="42">
        <f>IF(B16=""," ",(B16+C16)/2)</f>
        <v>16.335000000000001</v>
      </c>
      <c r="E16" s="43">
        <f>IF(D16&lt;&gt;"",C16/B16,"")</f>
        <v>1.1104651162790697</v>
      </c>
      <c r="F16" s="44" t="str">
        <f t="shared" ref="F16:F79" si="0">IF(B16="","",IF(E16&gt;$F$117,"Ao",IF(E16&lt;$F$118,"Au","")))</f>
        <v/>
      </c>
      <c r="G16" s="45">
        <f>IF(D16&lt;&gt;"",C16-B16,"")</f>
        <v>1.7100000000000009</v>
      </c>
      <c r="H16" s="46" t="str">
        <f>IF(B16="","",IF(G16&gt;$N$92,"Ao",IF(G16&lt;$N$93,"Au","")))</f>
        <v/>
      </c>
      <c r="I16" s="9"/>
      <c r="J16" s="47"/>
      <c r="K16" s="48"/>
      <c r="L16" s="48"/>
      <c r="M16" s="48"/>
      <c r="N16" s="48"/>
      <c r="O16" s="48"/>
      <c r="P16" s="49"/>
      <c r="Q16" s="50"/>
      <c r="R16" s="51">
        <f>IF(D16&lt;&gt;"",D16,#N/A)</f>
        <v>16.335000000000001</v>
      </c>
      <c r="S16" s="131">
        <f>IF(E16&lt;&gt;"",E16,#N/A)</f>
        <v>1.1104651162790697</v>
      </c>
      <c r="T16" s="136">
        <f>D116</f>
        <v>1.38</v>
      </c>
      <c r="U16" s="134">
        <f>IF(B16&lt;&gt;"",$K$44,"")</f>
        <v>1.0750988244017088</v>
      </c>
      <c r="V16" s="131">
        <f>IF(B16&lt;&gt;"",$O$45,"")</f>
        <v>0.90678395258371258</v>
      </c>
      <c r="W16" s="131">
        <f>IF(B16&lt;&gt;"",$O$44,"")</f>
        <v>1.2434136962197051</v>
      </c>
      <c r="X16" s="131">
        <f>IF(B16&lt;&gt;"",$O$48,"")</f>
        <v>0.7</v>
      </c>
      <c r="Y16" s="131">
        <f>IF(B16&lt;&gt;"",$O$47,"")</f>
        <v>1.3</v>
      </c>
      <c r="AA16" s="131">
        <f>IF(G16&lt;&gt;"",G16,#N/A)</f>
        <v>1.7100000000000009</v>
      </c>
      <c r="AB16" s="52">
        <f>IF(B16&lt;&gt;"",$K$89,"")</f>
        <v>1.7538888888888893</v>
      </c>
      <c r="AC16" s="53">
        <f>IF(B16&lt;&gt;"",$N$90,"")</f>
        <v>-2.572126176873871</v>
      </c>
      <c r="AD16" s="54">
        <f>IF(B16&lt;&gt;"",$N$89,"")</f>
        <v>6.07990395465165</v>
      </c>
      <c r="AE16" s="55">
        <f>IF(B16&lt;&gt;"",$N$93,"")</f>
        <v>-31.667999999999999</v>
      </c>
      <c r="AF16" s="56">
        <f>IF(B16&lt;&gt;"",$N$92,"")</f>
        <v>31.667999999999999</v>
      </c>
      <c r="AG16" s="40"/>
      <c r="AI16" s="21"/>
      <c r="AJ16" s="21"/>
      <c r="AK16" s="21"/>
    </row>
    <row r="17" spans="1:37" ht="13.6" x14ac:dyDescent="0.25">
      <c r="A17" s="41">
        <v>2</v>
      </c>
      <c r="B17" s="6">
        <v>26.01</v>
      </c>
      <c r="C17" s="4">
        <v>26.1</v>
      </c>
      <c r="D17" s="57">
        <f t="shared" ref="D17:D55" si="1">IF(B17="","",(B17+C17)/2)</f>
        <v>26.055</v>
      </c>
      <c r="E17" s="58">
        <f t="shared" ref="E17:E80" si="2">IF(D17&lt;&gt;"",C17/B17,"")</f>
        <v>1.0034602076124568</v>
      </c>
      <c r="F17" s="59" t="str">
        <f t="shared" si="0"/>
        <v/>
      </c>
      <c r="G17" s="60">
        <f t="shared" ref="G17:G80" si="3">IF(D17&lt;&gt;"",C17-B17,"")</f>
        <v>8.9999999999999858E-2</v>
      </c>
      <c r="H17" s="61" t="str">
        <f t="shared" ref="H17:H80" si="4">IF(B17="","",IF(G17&gt;$N$92,"Ao",IF(G17&lt;$N$93,"Au","")))</f>
        <v/>
      </c>
      <c r="I17" s="9"/>
      <c r="J17" s="62" t="s">
        <v>54</v>
      </c>
      <c r="K17" s="48"/>
      <c r="L17" s="48"/>
      <c r="M17" s="48"/>
      <c r="N17" s="48"/>
      <c r="O17" s="63"/>
      <c r="P17" s="49"/>
      <c r="R17" s="51">
        <f t="shared" ref="R17:R80" si="5">IF(D17&lt;&gt;"",D17,#N/A)</f>
        <v>26.055</v>
      </c>
      <c r="S17" s="51">
        <f t="shared" ref="S17:S80" si="6">IF(E17&lt;&gt;"",E17,#N/A)</f>
        <v>1.0034602076124568</v>
      </c>
      <c r="T17" s="116">
        <f>D118</f>
        <v>105.56</v>
      </c>
      <c r="U17" s="135">
        <f>IF(B17&lt;&gt;"",$K$44,"")</f>
        <v>1.0750988244017088</v>
      </c>
      <c r="V17" s="116">
        <f>IF(B17&lt;&gt;"",$O$45,"")</f>
        <v>0.90678395258371258</v>
      </c>
      <c r="W17" s="116">
        <f>IF(B17&lt;&gt;"",$O$44,"")</f>
        <v>1.2434136962197051</v>
      </c>
      <c r="X17" s="116">
        <f>IF(B17&lt;&gt;"",$O$48,"")</f>
        <v>0.7</v>
      </c>
      <c r="Y17" s="116">
        <f>IF(B17&lt;&gt;"",$O$47,"")</f>
        <v>1.3</v>
      </c>
      <c r="AA17" s="51">
        <f t="shared" ref="AA17:AA80" si="7">IF(G17&lt;&gt;"",G17,#N/A)</f>
        <v>8.9999999999999858E-2</v>
      </c>
      <c r="AB17" s="117">
        <f t="shared" ref="AB17" si="8">IF(B17&lt;&gt;"",$K$89,"")</f>
        <v>1.7538888888888893</v>
      </c>
      <c r="AC17" s="118">
        <f t="shared" ref="AC17" si="9">IF(B17&lt;&gt;"",$N$90,"")</f>
        <v>-2.572126176873871</v>
      </c>
      <c r="AD17" s="119">
        <f t="shared" ref="AD17" si="10">IF(B17&lt;&gt;"",$N$89,"")</f>
        <v>6.07990395465165</v>
      </c>
      <c r="AE17" s="140">
        <f t="shared" ref="AE17" si="11">IF(B17&lt;&gt;"",$N$93,"")</f>
        <v>-31.667999999999999</v>
      </c>
      <c r="AF17" s="120">
        <f t="shared" ref="AF17" si="12">IF(B17&lt;&gt;"",$N$92,"")</f>
        <v>31.667999999999999</v>
      </c>
      <c r="AG17" s="40"/>
      <c r="AI17" s="21"/>
      <c r="AJ17" s="21"/>
      <c r="AK17" s="21"/>
    </row>
    <row r="18" spans="1:37" x14ac:dyDescent="0.2">
      <c r="A18" s="41">
        <v>3</v>
      </c>
      <c r="B18" s="6">
        <v>3.3300000000000005</v>
      </c>
      <c r="C18" s="4">
        <v>4.1399999999999997</v>
      </c>
      <c r="D18" s="57">
        <f t="shared" si="1"/>
        <v>3.7350000000000003</v>
      </c>
      <c r="E18" s="58">
        <f t="shared" si="2"/>
        <v>1.243243243243243</v>
      </c>
      <c r="F18" s="59" t="str">
        <f t="shared" si="0"/>
        <v/>
      </c>
      <c r="G18" s="60">
        <f t="shared" si="3"/>
        <v>0.80999999999999917</v>
      </c>
      <c r="H18" s="61" t="str">
        <f t="shared" si="4"/>
        <v/>
      </c>
      <c r="I18" s="9"/>
      <c r="J18" s="47"/>
      <c r="K18" s="48"/>
      <c r="L18" s="48"/>
      <c r="M18" s="64" t="s">
        <v>40</v>
      </c>
      <c r="N18" s="48"/>
      <c r="O18" s="65">
        <f>E9</f>
        <v>0.3</v>
      </c>
      <c r="P18" s="66"/>
      <c r="R18" s="51">
        <f t="shared" si="5"/>
        <v>3.7350000000000003</v>
      </c>
      <c r="S18" s="51">
        <f t="shared" si="6"/>
        <v>1.243243243243243</v>
      </c>
      <c r="T18" s="93"/>
      <c r="U18" s="133"/>
      <c r="V18" s="93"/>
      <c r="W18" s="93"/>
      <c r="X18" s="93"/>
      <c r="Y18" s="93"/>
      <c r="AA18" s="51">
        <f t="shared" si="7"/>
        <v>0.80999999999999917</v>
      </c>
      <c r="AC18" s="17"/>
      <c r="AE18" s="138"/>
      <c r="AF18" s="18"/>
      <c r="AG18" s="67"/>
      <c r="AI18" s="21"/>
      <c r="AJ18" s="21"/>
      <c r="AK18" s="21"/>
    </row>
    <row r="19" spans="1:37" x14ac:dyDescent="0.2">
      <c r="A19" s="41">
        <v>4</v>
      </c>
      <c r="B19" s="6">
        <v>20.43</v>
      </c>
      <c r="C19" s="4">
        <v>21.78</v>
      </c>
      <c r="D19" s="57">
        <f t="shared" si="1"/>
        <v>21.105</v>
      </c>
      <c r="E19" s="58">
        <f t="shared" si="2"/>
        <v>1.0660792951541851</v>
      </c>
      <c r="F19" s="59" t="str">
        <f t="shared" si="0"/>
        <v/>
      </c>
      <c r="G19" s="60">
        <f t="shared" si="3"/>
        <v>1.3500000000000014</v>
      </c>
      <c r="H19" s="61" t="str">
        <f t="shared" si="4"/>
        <v/>
      </c>
      <c r="I19" s="9"/>
      <c r="J19" s="47"/>
      <c r="K19" s="48"/>
      <c r="L19" s="48"/>
      <c r="M19" s="68"/>
      <c r="N19" s="64"/>
      <c r="O19" s="69"/>
      <c r="P19" s="66"/>
      <c r="R19" s="51">
        <f t="shared" si="5"/>
        <v>21.105</v>
      </c>
      <c r="S19" s="51">
        <f t="shared" si="6"/>
        <v>1.0660792951541851</v>
      </c>
      <c r="T19" s="93"/>
      <c r="U19" s="133"/>
      <c r="V19" s="93"/>
      <c r="W19" s="93"/>
      <c r="X19" s="93"/>
      <c r="Y19" s="93"/>
      <c r="AA19" s="51">
        <f t="shared" si="7"/>
        <v>1.3500000000000014</v>
      </c>
      <c r="AC19" s="17"/>
      <c r="AE19" s="138"/>
      <c r="AF19" s="18"/>
      <c r="AG19" s="40"/>
      <c r="AI19" s="21"/>
      <c r="AJ19" s="21"/>
      <c r="AK19" s="21"/>
    </row>
    <row r="20" spans="1:37" ht="13.6" x14ac:dyDescent="0.25">
      <c r="A20" s="41">
        <v>5</v>
      </c>
      <c r="B20" s="6">
        <v>12.06</v>
      </c>
      <c r="C20" s="4">
        <v>11.520000000000001</v>
      </c>
      <c r="D20" s="57">
        <f t="shared" si="1"/>
        <v>11.790000000000001</v>
      </c>
      <c r="E20" s="58">
        <f t="shared" si="2"/>
        <v>0.95522388059701502</v>
      </c>
      <c r="F20" s="59" t="str">
        <f t="shared" si="0"/>
        <v/>
      </c>
      <c r="G20" s="60">
        <f t="shared" si="3"/>
        <v>-0.53999999999999915</v>
      </c>
      <c r="H20" s="61" t="str">
        <f t="shared" si="4"/>
        <v/>
      </c>
      <c r="I20" s="9"/>
      <c r="J20" s="47"/>
      <c r="K20" s="48"/>
      <c r="L20" s="48"/>
      <c r="M20" s="70" t="s">
        <v>41</v>
      </c>
      <c r="N20" s="48"/>
      <c r="O20" s="71" t="str">
        <f>IF(L48&lt;0.95,"nicht gleichwertig","gleichwertig")</f>
        <v>gleichwertig</v>
      </c>
      <c r="P20" s="49"/>
      <c r="R20" s="51">
        <f t="shared" si="5"/>
        <v>11.790000000000001</v>
      </c>
      <c r="S20" s="51">
        <f t="shared" si="6"/>
        <v>0.95522388059701502</v>
      </c>
      <c r="T20" s="93"/>
      <c r="U20" s="133"/>
      <c r="V20" s="93"/>
      <c r="W20" s="93"/>
      <c r="X20" s="93"/>
      <c r="Y20" s="93"/>
      <c r="AA20" s="51">
        <f t="shared" si="7"/>
        <v>-0.53999999999999915</v>
      </c>
      <c r="AC20" s="17"/>
      <c r="AE20" s="138"/>
      <c r="AF20" s="18"/>
      <c r="AG20" s="40"/>
      <c r="AI20" s="21"/>
      <c r="AJ20" s="21"/>
      <c r="AK20" s="21"/>
    </row>
    <row r="21" spans="1:37" ht="13.6" x14ac:dyDescent="0.25">
      <c r="A21" s="41">
        <v>6</v>
      </c>
      <c r="B21" s="6">
        <v>24.03</v>
      </c>
      <c r="C21" s="4">
        <v>26.01</v>
      </c>
      <c r="D21" s="57">
        <f t="shared" si="1"/>
        <v>25.020000000000003</v>
      </c>
      <c r="E21" s="58">
        <f t="shared" si="2"/>
        <v>1.0823970037453183</v>
      </c>
      <c r="F21" s="59" t="str">
        <f t="shared" si="0"/>
        <v/>
      </c>
      <c r="G21" s="60">
        <f t="shared" si="3"/>
        <v>1.9800000000000004</v>
      </c>
      <c r="H21" s="61" t="str">
        <f t="shared" si="4"/>
        <v/>
      </c>
      <c r="I21" s="9"/>
      <c r="J21" s="47"/>
      <c r="K21" s="72" t="str">
        <f>IF(D119&lt;20,"mindestens 20 Messwerte!","")</f>
        <v/>
      </c>
      <c r="L21" s="48"/>
      <c r="M21" s="48"/>
      <c r="N21" s="48"/>
      <c r="O21" s="48"/>
      <c r="P21" s="49"/>
      <c r="R21" s="51">
        <f t="shared" si="5"/>
        <v>25.020000000000003</v>
      </c>
      <c r="S21" s="51">
        <f t="shared" si="6"/>
        <v>1.0823970037453183</v>
      </c>
      <c r="T21" s="93"/>
      <c r="U21" s="133"/>
      <c r="V21" s="93"/>
      <c r="W21" s="93"/>
      <c r="X21" s="93"/>
      <c r="Y21" s="93"/>
      <c r="AA21" s="51">
        <f t="shared" si="7"/>
        <v>1.9800000000000004</v>
      </c>
      <c r="AC21" s="17"/>
      <c r="AE21" s="138"/>
      <c r="AF21" s="18"/>
      <c r="AG21" s="40"/>
      <c r="AI21" s="21"/>
      <c r="AJ21" s="21"/>
      <c r="AK21" s="21"/>
    </row>
    <row r="22" spans="1:37" x14ac:dyDescent="0.2">
      <c r="A22" s="41">
        <v>7</v>
      </c>
      <c r="B22" s="6">
        <v>4.7699999999999996</v>
      </c>
      <c r="C22" s="4">
        <v>4.7699999999999996</v>
      </c>
      <c r="D22" s="57">
        <f t="shared" si="1"/>
        <v>4.7699999999999996</v>
      </c>
      <c r="E22" s="58">
        <f t="shared" si="2"/>
        <v>1</v>
      </c>
      <c r="F22" s="59" t="str">
        <f t="shared" si="0"/>
        <v/>
      </c>
      <c r="G22" s="60">
        <f t="shared" si="3"/>
        <v>0</v>
      </c>
      <c r="H22" s="61" t="str">
        <f t="shared" si="4"/>
        <v/>
      </c>
      <c r="I22" s="9"/>
      <c r="J22" s="47"/>
      <c r="K22" s="48"/>
      <c r="L22" s="48"/>
      <c r="M22" s="48"/>
      <c r="N22" s="48"/>
      <c r="O22" s="48"/>
      <c r="P22" s="49"/>
      <c r="R22" s="51">
        <f t="shared" si="5"/>
        <v>4.7699999999999996</v>
      </c>
      <c r="S22" s="51">
        <f t="shared" si="6"/>
        <v>1</v>
      </c>
      <c r="T22" s="93"/>
      <c r="U22" s="133"/>
      <c r="V22" s="93"/>
      <c r="W22" s="93"/>
      <c r="X22" s="93"/>
      <c r="Y22" s="93"/>
      <c r="AA22" s="51">
        <f t="shared" si="7"/>
        <v>0</v>
      </c>
      <c r="AC22" s="17"/>
      <c r="AE22" s="138"/>
      <c r="AF22" s="18"/>
      <c r="AG22" s="40"/>
      <c r="AI22" s="21"/>
      <c r="AJ22" s="21"/>
      <c r="AK22" s="21"/>
    </row>
    <row r="23" spans="1:37" x14ac:dyDescent="0.2">
      <c r="A23" s="41">
        <v>8</v>
      </c>
      <c r="B23" s="6">
        <v>35.550000000000004</v>
      </c>
      <c r="C23" s="4">
        <v>37.53</v>
      </c>
      <c r="D23" s="57">
        <f t="shared" si="1"/>
        <v>36.540000000000006</v>
      </c>
      <c r="E23" s="58">
        <f t="shared" si="2"/>
        <v>1.0556962025316454</v>
      </c>
      <c r="F23" s="59" t="str">
        <f t="shared" si="0"/>
        <v/>
      </c>
      <c r="G23" s="60">
        <f t="shared" si="3"/>
        <v>1.9799999999999969</v>
      </c>
      <c r="H23" s="61" t="str">
        <f t="shared" si="4"/>
        <v/>
      </c>
      <c r="I23" s="9"/>
      <c r="J23" s="47"/>
      <c r="K23" s="48"/>
      <c r="L23" s="48"/>
      <c r="M23" s="48"/>
      <c r="N23" s="48"/>
      <c r="O23" s="48"/>
      <c r="P23" s="49"/>
      <c r="R23" s="51">
        <f t="shared" si="5"/>
        <v>36.540000000000006</v>
      </c>
      <c r="S23" s="51">
        <f t="shared" si="6"/>
        <v>1.0556962025316454</v>
      </c>
      <c r="T23" s="93"/>
      <c r="U23" s="133"/>
      <c r="V23" s="93"/>
      <c r="W23" s="93"/>
      <c r="X23" s="93"/>
      <c r="Y23" s="93"/>
      <c r="AA23" s="51">
        <f t="shared" si="7"/>
        <v>1.9799999999999969</v>
      </c>
      <c r="AC23" s="17"/>
      <c r="AE23" s="138"/>
      <c r="AF23" s="18"/>
      <c r="AG23" s="40"/>
      <c r="AI23" s="21"/>
      <c r="AJ23" s="21"/>
      <c r="AK23" s="21"/>
    </row>
    <row r="24" spans="1:37" x14ac:dyDescent="0.2">
      <c r="A24" s="41">
        <v>9</v>
      </c>
      <c r="B24" s="6">
        <v>14.22</v>
      </c>
      <c r="C24" s="4">
        <v>16.470000000000002</v>
      </c>
      <c r="D24" s="57">
        <f t="shared" si="1"/>
        <v>15.345000000000002</v>
      </c>
      <c r="E24" s="58">
        <f t="shared" si="2"/>
        <v>1.158227848101266</v>
      </c>
      <c r="F24" s="59" t="str">
        <f t="shared" si="0"/>
        <v/>
      </c>
      <c r="G24" s="60">
        <f t="shared" si="3"/>
        <v>2.2500000000000018</v>
      </c>
      <c r="H24" s="61" t="str">
        <f t="shared" si="4"/>
        <v/>
      </c>
      <c r="I24" s="9"/>
      <c r="J24" s="47"/>
      <c r="K24" s="48"/>
      <c r="L24" s="48"/>
      <c r="M24" s="48"/>
      <c r="N24" s="48"/>
      <c r="O24" s="48"/>
      <c r="P24" s="49"/>
      <c r="R24" s="51">
        <f t="shared" si="5"/>
        <v>15.345000000000002</v>
      </c>
      <c r="S24" s="51">
        <f t="shared" si="6"/>
        <v>1.158227848101266</v>
      </c>
      <c r="T24" s="93"/>
      <c r="U24" s="133"/>
      <c r="V24" s="93"/>
      <c r="W24" s="93"/>
      <c r="X24" s="93"/>
      <c r="Y24" s="93"/>
      <c r="AA24" s="51">
        <f t="shared" si="7"/>
        <v>2.2500000000000018</v>
      </c>
      <c r="AC24" s="17"/>
      <c r="AE24" s="138"/>
      <c r="AF24" s="18"/>
      <c r="AG24" s="40"/>
      <c r="AI24" s="21"/>
      <c r="AJ24" s="21"/>
      <c r="AK24" s="21"/>
    </row>
    <row r="25" spans="1:37" x14ac:dyDescent="0.2">
      <c r="A25" s="41">
        <v>10</v>
      </c>
      <c r="B25" s="6">
        <v>5.73</v>
      </c>
      <c r="C25" s="4">
        <v>6.37</v>
      </c>
      <c r="D25" s="57">
        <f t="shared" si="1"/>
        <v>6.0500000000000007</v>
      </c>
      <c r="E25" s="58">
        <f t="shared" si="2"/>
        <v>1.1116928446771379</v>
      </c>
      <c r="F25" s="59" t="str">
        <f t="shared" si="0"/>
        <v/>
      </c>
      <c r="G25" s="60">
        <f t="shared" si="3"/>
        <v>0.63999999999999968</v>
      </c>
      <c r="H25" s="61" t="str">
        <f t="shared" si="4"/>
        <v/>
      </c>
      <c r="I25" s="9"/>
      <c r="J25" s="47"/>
      <c r="K25" s="48"/>
      <c r="L25" s="48"/>
      <c r="M25" s="48"/>
      <c r="N25" s="48"/>
      <c r="O25" s="48"/>
      <c r="P25" s="49"/>
      <c r="R25" s="51">
        <f t="shared" si="5"/>
        <v>6.0500000000000007</v>
      </c>
      <c r="S25" s="51">
        <f t="shared" si="6"/>
        <v>1.1116928446771379</v>
      </c>
      <c r="T25" s="93"/>
      <c r="U25" s="133"/>
      <c r="V25" s="93"/>
      <c r="W25" s="93"/>
      <c r="X25" s="93"/>
      <c r="Y25" s="93"/>
      <c r="AA25" s="51">
        <f t="shared" si="7"/>
        <v>0.63999999999999968</v>
      </c>
      <c r="AC25" s="17"/>
      <c r="AE25" s="138"/>
      <c r="AF25" s="18"/>
      <c r="AG25" s="40"/>
      <c r="AI25" s="21"/>
      <c r="AJ25" s="21"/>
      <c r="AK25" s="21"/>
    </row>
    <row r="26" spans="1:37" x14ac:dyDescent="0.2">
      <c r="A26" s="41">
        <v>11</v>
      </c>
      <c r="B26" s="6">
        <v>9.6300000000000008</v>
      </c>
      <c r="C26" s="4">
        <v>9.67</v>
      </c>
      <c r="D26" s="57">
        <f t="shared" si="1"/>
        <v>9.65</v>
      </c>
      <c r="E26" s="58">
        <f t="shared" si="2"/>
        <v>1.0041536863966769</v>
      </c>
      <c r="F26" s="59" t="str">
        <f t="shared" si="0"/>
        <v/>
      </c>
      <c r="G26" s="60">
        <f t="shared" si="3"/>
        <v>3.9999999999999147E-2</v>
      </c>
      <c r="H26" s="61" t="str">
        <f t="shared" si="4"/>
        <v/>
      </c>
      <c r="I26" s="9"/>
      <c r="J26" s="47"/>
      <c r="K26" s="48"/>
      <c r="L26" s="48"/>
      <c r="M26" s="48"/>
      <c r="N26" s="48"/>
      <c r="O26" s="48"/>
      <c r="P26" s="49"/>
      <c r="R26" s="51">
        <f t="shared" si="5"/>
        <v>9.65</v>
      </c>
      <c r="S26" s="51">
        <f t="shared" si="6"/>
        <v>1.0041536863966769</v>
      </c>
      <c r="T26" s="93"/>
      <c r="U26" s="133"/>
      <c r="V26" s="93"/>
      <c r="W26" s="93"/>
      <c r="X26" s="93"/>
      <c r="Y26" s="93"/>
      <c r="AA26" s="51">
        <f t="shared" si="7"/>
        <v>3.9999999999999147E-2</v>
      </c>
      <c r="AC26" s="17"/>
      <c r="AE26" s="138"/>
      <c r="AF26" s="18"/>
      <c r="AG26" s="40"/>
      <c r="AI26" s="21"/>
      <c r="AJ26" s="21"/>
      <c r="AK26" s="21"/>
    </row>
    <row r="27" spans="1:37" x14ac:dyDescent="0.2">
      <c r="A27" s="41">
        <v>12</v>
      </c>
      <c r="B27" s="6">
        <v>1.23</v>
      </c>
      <c r="C27" s="4">
        <v>1.53</v>
      </c>
      <c r="D27" s="57">
        <f t="shared" si="1"/>
        <v>1.38</v>
      </c>
      <c r="E27" s="58">
        <f t="shared" si="2"/>
        <v>1.2439024390243902</v>
      </c>
      <c r="F27" s="59" t="str">
        <f t="shared" si="0"/>
        <v/>
      </c>
      <c r="G27" s="60">
        <f t="shared" si="3"/>
        <v>0.30000000000000004</v>
      </c>
      <c r="H27" s="61" t="str">
        <f t="shared" si="4"/>
        <v/>
      </c>
      <c r="I27" s="9"/>
      <c r="J27" s="47"/>
      <c r="K27" s="48"/>
      <c r="L27" s="48"/>
      <c r="M27" s="48"/>
      <c r="N27" s="48"/>
      <c r="O27" s="48"/>
      <c r="P27" s="49"/>
      <c r="R27" s="51">
        <f t="shared" si="5"/>
        <v>1.38</v>
      </c>
      <c r="S27" s="51">
        <f t="shared" si="6"/>
        <v>1.2439024390243902</v>
      </c>
      <c r="T27" s="93"/>
      <c r="U27" s="133"/>
      <c r="V27" s="93"/>
      <c r="W27" s="93"/>
      <c r="X27" s="93"/>
      <c r="Y27" s="93"/>
      <c r="AA27" s="51">
        <f t="shared" si="7"/>
        <v>0.30000000000000004</v>
      </c>
      <c r="AC27" s="17"/>
      <c r="AE27" s="138"/>
      <c r="AF27" s="18"/>
      <c r="AG27" s="40"/>
      <c r="AI27" s="21"/>
      <c r="AJ27" s="21"/>
      <c r="AK27" s="21"/>
    </row>
    <row r="28" spans="1:37" x14ac:dyDescent="0.2">
      <c r="A28" s="41">
        <v>13</v>
      </c>
      <c r="B28" s="6">
        <v>7.56</v>
      </c>
      <c r="C28" s="4">
        <v>8.07</v>
      </c>
      <c r="D28" s="57">
        <f t="shared" si="1"/>
        <v>7.8149999999999995</v>
      </c>
      <c r="E28" s="58">
        <f t="shared" si="2"/>
        <v>1.0674603174603174</v>
      </c>
      <c r="F28" s="59" t="str">
        <f t="shared" si="0"/>
        <v/>
      </c>
      <c r="G28" s="60">
        <f t="shared" si="3"/>
        <v>0.51000000000000068</v>
      </c>
      <c r="H28" s="61" t="str">
        <f t="shared" si="4"/>
        <v/>
      </c>
      <c r="I28" s="9"/>
      <c r="J28" s="47"/>
      <c r="K28" s="48"/>
      <c r="L28" s="48"/>
      <c r="M28" s="48"/>
      <c r="N28" s="48"/>
      <c r="O28" s="48"/>
      <c r="P28" s="49"/>
      <c r="R28" s="51">
        <f t="shared" si="5"/>
        <v>7.8149999999999995</v>
      </c>
      <c r="S28" s="51">
        <f t="shared" si="6"/>
        <v>1.0674603174603174</v>
      </c>
      <c r="T28" s="93"/>
      <c r="U28" s="133"/>
      <c r="V28" s="93"/>
      <c r="W28" s="93"/>
      <c r="X28" s="93"/>
      <c r="Y28" s="93"/>
      <c r="AA28" s="51">
        <f t="shared" si="7"/>
        <v>0.51000000000000068</v>
      </c>
      <c r="AC28" s="17"/>
      <c r="AE28" s="138"/>
      <c r="AF28" s="18"/>
      <c r="AG28" s="40"/>
      <c r="AI28" s="21"/>
      <c r="AJ28" s="21"/>
      <c r="AK28" s="21"/>
    </row>
    <row r="29" spans="1:37" x14ac:dyDescent="0.2">
      <c r="A29" s="41">
        <v>14</v>
      </c>
      <c r="B29" s="6">
        <v>4.46</v>
      </c>
      <c r="C29" s="4">
        <v>4.2699999999999996</v>
      </c>
      <c r="D29" s="57">
        <f t="shared" si="1"/>
        <v>4.3650000000000002</v>
      </c>
      <c r="E29" s="58">
        <f t="shared" si="2"/>
        <v>0.95739910313901333</v>
      </c>
      <c r="F29" s="59" t="str">
        <f t="shared" si="0"/>
        <v/>
      </c>
      <c r="G29" s="60">
        <f t="shared" si="3"/>
        <v>-0.19000000000000039</v>
      </c>
      <c r="H29" s="61" t="str">
        <f t="shared" si="4"/>
        <v/>
      </c>
      <c r="I29" s="9"/>
      <c r="J29" s="47"/>
      <c r="K29" s="48"/>
      <c r="L29" s="48"/>
      <c r="M29" s="48"/>
      <c r="N29" s="48"/>
      <c r="O29" s="48"/>
      <c r="P29" s="49"/>
      <c r="R29" s="51">
        <f t="shared" si="5"/>
        <v>4.3650000000000002</v>
      </c>
      <c r="S29" s="51">
        <f t="shared" si="6"/>
        <v>0.95739910313901333</v>
      </c>
      <c r="T29" s="93"/>
      <c r="U29" s="133"/>
      <c r="V29" s="93"/>
      <c r="W29" s="93"/>
      <c r="X29" s="93"/>
      <c r="Y29" s="93"/>
      <c r="AA29" s="51">
        <f t="shared" si="7"/>
        <v>-0.19000000000000039</v>
      </c>
      <c r="AC29" s="17"/>
      <c r="AE29" s="138"/>
      <c r="AF29" s="18"/>
      <c r="AG29" s="40"/>
      <c r="AI29" s="21"/>
      <c r="AJ29" s="21"/>
      <c r="AK29" s="21"/>
    </row>
    <row r="30" spans="1:37" x14ac:dyDescent="0.2">
      <c r="A30" s="41">
        <v>15</v>
      </c>
      <c r="B30" s="6">
        <v>8.9</v>
      </c>
      <c r="C30" s="4">
        <v>9.6300000000000008</v>
      </c>
      <c r="D30" s="57">
        <f t="shared" si="1"/>
        <v>9.2650000000000006</v>
      </c>
      <c r="E30" s="58">
        <f t="shared" si="2"/>
        <v>1.0820224719101124</v>
      </c>
      <c r="F30" s="59" t="str">
        <f t="shared" si="0"/>
        <v/>
      </c>
      <c r="G30" s="60">
        <f t="shared" si="3"/>
        <v>0.73000000000000043</v>
      </c>
      <c r="H30" s="61" t="str">
        <f t="shared" si="4"/>
        <v/>
      </c>
      <c r="I30" s="9"/>
      <c r="J30" s="47"/>
      <c r="K30" s="48"/>
      <c r="L30" s="48"/>
      <c r="M30" s="48"/>
      <c r="N30" s="48"/>
      <c r="O30" s="48"/>
      <c r="P30" s="49"/>
      <c r="R30" s="51">
        <f t="shared" si="5"/>
        <v>9.2650000000000006</v>
      </c>
      <c r="S30" s="51">
        <f t="shared" si="6"/>
        <v>1.0820224719101124</v>
      </c>
      <c r="T30" s="93"/>
      <c r="U30" s="133"/>
      <c r="V30" s="93"/>
      <c r="W30" s="93"/>
      <c r="X30" s="93"/>
      <c r="Y30" s="93"/>
      <c r="AA30" s="51">
        <f t="shared" si="7"/>
        <v>0.73000000000000043</v>
      </c>
      <c r="AC30" s="17"/>
      <c r="AE30" s="138"/>
      <c r="AF30" s="18"/>
      <c r="AG30" s="40"/>
      <c r="AI30" s="21"/>
      <c r="AJ30" s="21"/>
      <c r="AK30" s="21"/>
    </row>
    <row r="31" spans="1:37" x14ac:dyDescent="0.2">
      <c r="A31" s="41">
        <v>16</v>
      </c>
      <c r="B31" s="6">
        <v>1.77</v>
      </c>
      <c r="C31" s="4">
        <v>1.77</v>
      </c>
      <c r="D31" s="57">
        <f t="shared" si="1"/>
        <v>1.77</v>
      </c>
      <c r="E31" s="58">
        <f t="shared" si="2"/>
        <v>1</v>
      </c>
      <c r="F31" s="59" t="str">
        <f t="shared" si="0"/>
        <v/>
      </c>
      <c r="G31" s="60">
        <f t="shared" si="3"/>
        <v>0</v>
      </c>
      <c r="H31" s="61" t="str">
        <f t="shared" si="4"/>
        <v/>
      </c>
      <c r="I31" s="9"/>
      <c r="J31" s="47"/>
      <c r="K31" s="48"/>
      <c r="L31" s="48"/>
      <c r="M31" s="48"/>
      <c r="N31" s="48"/>
      <c r="O31" s="48"/>
      <c r="P31" s="49"/>
      <c r="R31" s="51">
        <f t="shared" si="5"/>
        <v>1.77</v>
      </c>
      <c r="S31" s="51">
        <f t="shared" si="6"/>
        <v>1</v>
      </c>
      <c r="T31" s="93"/>
      <c r="U31" s="133"/>
      <c r="V31" s="93"/>
      <c r="W31" s="93"/>
      <c r="X31" s="93"/>
      <c r="Y31" s="93"/>
      <c r="AA31" s="51">
        <f t="shared" si="7"/>
        <v>0</v>
      </c>
      <c r="AC31" s="17"/>
      <c r="AE31" s="138"/>
      <c r="AF31" s="18"/>
      <c r="AG31" s="40"/>
      <c r="AI31" s="21"/>
      <c r="AJ31" s="21"/>
      <c r="AK31" s="21"/>
    </row>
    <row r="32" spans="1:37" x14ac:dyDescent="0.2">
      <c r="A32" s="41">
        <v>17</v>
      </c>
      <c r="B32" s="6">
        <v>13.17</v>
      </c>
      <c r="C32" s="4">
        <v>13.9</v>
      </c>
      <c r="D32" s="57">
        <f t="shared" si="1"/>
        <v>13.535</v>
      </c>
      <c r="E32" s="58">
        <f t="shared" si="2"/>
        <v>1.0554290053151101</v>
      </c>
      <c r="F32" s="59" t="str">
        <f t="shared" si="0"/>
        <v/>
      </c>
      <c r="G32" s="60">
        <f t="shared" si="3"/>
        <v>0.73000000000000043</v>
      </c>
      <c r="H32" s="61" t="str">
        <f t="shared" si="4"/>
        <v/>
      </c>
      <c r="I32" s="9"/>
      <c r="J32" s="47"/>
      <c r="K32" s="48"/>
      <c r="L32" s="48"/>
      <c r="M32" s="48"/>
      <c r="N32" s="48"/>
      <c r="O32" s="48"/>
      <c r="P32" s="49"/>
      <c r="R32" s="51">
        <f t="shared" si="5"/>
        <v>13.535</v>
      </c>
      <c r="S32" s="51">
        <f t="shared" si="6"/>
        <v>1.0554290053151101</v>
      </c>
      <c r="T32" s="93"/>
      <c r="U32" s="133"/>
      <c r="V32" s="93"/>
      <c r="W32" s="93"/>
      <c r="X32" s="93"/>
      <c r="Y32" s="93"/>
      <c r="AA32" s="51">
        <f t="shared" si="7"/>
        <v>0.73000000000000043</v>
      </c>
      <c r="AC32" s="17"/>
      <c r="AE32" s="138"/>
      <c r="AF32" s="18"/>
      <c r="AG32" s="40"/>
      <c r="AI32" s="21"/>
      <c r="AJ32" s="21"/>
      <c r="AK32" s="21"/>
    </row>
    <row r="33" spans="1:37" x14ac:dyDescent="0.2">
      <c r="A33" s="41">
        <v>18</v>
      </c>
      <c r="B33" s="6">
        <v>5.27</v>
      </c>
      <c r="C33" s="4">
        <v>6.1000000000000005</v>
      </c>
      <c r="D33" s="57">
        <f t="shared" si="1"/>
        <v>5.6850000000000005</v>
      </c>
      <c r="E33" s="58">
        <f t="shared" si="2"/>
        <v>1.1574952561669831</v>
      </c>
      <c r="F33" s="59" t="str">
        <f t="shared" si="0"/>
        <v/>
      </c>
      <c r="G33" s="60">
        <f t="shared" si="3"/>
        <v>0.83000000000000096</v>
      </c>
      <c r="H33" s="61" t="str">
        <f t="shared" si="4"/>
        <v/>
      </c>
      <c r="I33" s="9"/>
      <c r="J33" s="47"/>
      <c r="K33" s="48"/>
      <c r="L33" s="48"/>
      <c r="M33" s="48"/>
      <c r="N33" s="48"/>
      <c r="O33" s="48"/>
      <c r="P33" s="49"/>
      <c r="R33" s="51">
        <f t="shared" si="5"/>
        <v>5.6850000000000005</v>
      </c>
      <c r="S33" s="51">
        <f t="shared" si="6"/>
        <v>1.1574952561669831</v>
      </c>
      <c r="T33" s="93"/>
      <c r="U33" s="133"/>
      <c r="V33" s="93"/>
      <c r="W33" s="93"/>
      <c r="X33" s="93"/>
      <c r="Y33" s="93"/>
      <c r="AA33" s="51">
        <f t="shared" si="7"/>
        <v>0.83000000000000096</v>
      </c>
      <c r="AC33" s="17"/>
      <c r="AE33" s="138"/>
      <c r="AF33" s="18"/>
      <c r="AG33" s="40"/>
      <c r="AI33" s="21"/>
      <c r="AJ33" s="21"/>
      <c r="AK33" s="21"/>
    </row>
    <row r="34" spans="1:37" x14ac:dyDescent="0.2">
      <c r="A34" s="41">
        <v>19</v>
      </c>
      <c r="B34" s="6">
        <v>44.72</v>
      </c>
      <c r="C34" s="4">
        <v>49.660000000000004</v>
      </c>
      <c r="D34" s="57">
        <f t="shared" si="1"/>
        <v>47.19</v>
      </c>
      <c r="E34" s="58">
        <f t="shared" si="2"/>
        <v>1.11046511627907</v>
      </c>
      <c r="F34" s="59" t="str">
        <f t="shared" si="0"/>
        <v/>
      </c>
      <c r="G34" s="60">
        <f t="shared" si="3"/>
        <v>4.9400000000000048</v>
      </c>
      <c r="H34" s="61" t="str">
        <f t="shared" si="4"/>
        <v/>
      </c>
      <c r="I34" s="9"/>
      <c r="J34" s="47"/>
      <c r="K34" s="48"/>
      <c r="L34" s="48"/>
      <c r="M34" s="48"/>
      <c r="N34" s="48"/>
      <c r="O34" s="48"/>
      <c r="P34" s="49"/>
      <c r="R34" s="51">
        <f t="shared" si="5"/>
        <v>47.19</v>
      </c>
      <c r="S34" s="51">
        <f t="shared" si="6"/>
        <v>1.11046511627907</v>
      </c>
      <c r="T34" s="93"/>
      <c r="U34" s="133"/>
      <c r="V34" s="93"/>
      <c r="W34" s="93"/>
      <c r="X34" s="93"/>
      <c r="Y34" s="93"/>
      <c r="AA34" s="51">
        <f t="shared" si="7"/>
        <v>4.9400000000000048</v>
      </c>
      <c r="AC34" s="17"/>
      <c r="AE34" s="138"/>
      <c r="AF34" s="18"/>
      <c r="AG34" s="40"/>
      <c r="AI34" s="21"/>
      <c r="AJ34" s="21"/>
      <c r="AK34" s="21"/>
    </row>
    <row r="35" spans="1:37" x14ac:dyDescent="0.2">
      <c r="A35" s="41">
        <v>20</v>
      </c>
      <c r="B35" s="6">
        <v>75.14</v>
      </c>
      <c r="C35" s="4">
        <v>75.399999999999991</v>
      </c>
      <c r="D35" s="57">
        <f t="shared" si="1"/>
        <v>75.27</v>
      </c>
      <c r="E35" s="58">
        <f t="shared" si="2"/>
        <v>1.0034602076124566</v>
      </c>
      <c r="F35" s="59" t="str">
        <f t="shared" si="0"/>
        <v/>
      </c>
      <c r="G35" s="60">
        <f t="shared" si="3"/>
        <v>0.25999999999999091</v>
      </c>
      <c r="H35" s="61" t="str">
        <f t="shared" si="4"/>
        <v/>
      </c>
      <c r="I35" s="9"/>
      <c r="J35" s="47"/>
      <c r="K35" s="48"/>
      <c r="L35" s="48"/>
      <c r="M35" s="48"/>
      <c r="N35" s="48"/>
      <c r="O35" s="48"/>
      <c r="P35" s="49"/>
      <c r="R35" s="51">
        <f t="shared" si="5"/>
        <v>75.27</v>
      </c>
      <c r="S35" s="51">
        <f t="shared" si="6"/>
        <v>1.0034602076124566</v>
      </c>
      <c r="T35" s="93"/>
      <c r="U35" s="133"/>
      <c r="V35" s="93"/>
      <c r="W35" s="93"/>
      <c r="X35" s="93"/>
      <c r="Y35" s="93"/>
      <c r="AA35" s="51">
        <f t="shared" si="7"/>
        <v>0.25999999999999091</v>
      </c>
      <c r="AC35" s="17"/>
      <c r="AE35" s="138"/>
      <c r="AF35" s="18"/>
      <c r="AG35" s="40"/>
      <c r="AI35" s="21"/>
      <c r="AJ35" s="21"/>
      <c r="AK35" s="21"/>
    </row>
    <row r="36" spans="1:37" x14ac:dyDescent="0.2">
      <c r="A36" s="41">
        <v>21</v>
      </c>
      <c r="B36" s="6">
        <v>9.620000000000001</v>
      </c>
      <c r="C36" s="4">
        <v>11.959999999999999</v>
      </c>
      <c r="D36" s="57">
        <f t="shared" si="1"/>
        <v>10.79</v>
      </c>
      <c r="E36" s="58">
        <f t="shared" si="2"/>
        <v>1.243243243243243</v>
      </c>
      <c r="F36" s="59" t="str">
        <f t="shared" si="0"/>
        <v/>
      </c>
      <c r="G36" s="60">
        <f t="shared" si="3"/>
        <v>2.3399999999999981</v>
      </c>
      <c r="H36" s="61" t="str">
        <f t="shared" si="4"/>
        <v/>
      </c>
      <c r="I36" s="9"/>
      <c r="J36" s="47"/>
      <c r="K36" s="48"/>
      <c r="L36" s="48"/>
      <c r="M36" s="48"/>
      <c r="N36" s="48"/>
      <c r="O36" s="48"/>
      <c r="P36" s="49"/>
      <c r="R36" s="51">
        <f t="shared" si="5"/>
        <v>10.79</v>
      </c>
      <c r="S36" s="51">
        <f t="shared" si="6"/>
        <v>1.243243243243243</v>
      </c>
      <c r="T36" s="93"/>
      <c r="U36" s="133"/>
      <c r="V36" s="93"/>
      <c r="W36" s="93"/>
      <c r="X36" s="93"/>
      <c r="Y36" s="93"/>
      <c r="AA36" s="51">
        <f t="shared" si="7"/>
        <v>2.3399999999999981</v>
      </c>
      <c r="AC36" s="17"/>
      <c r="AE36" s="138"/>
      <c r="AF36" s="18"/>
      <c r="AG36" s="40"/>
      <c r="AI36" s="21"/>
      <c r="AJ36" s="21"/>
      <c r="AK36" s="21"/>
    </row>
    <row r="37" spans="1:37" x14ac:dyDescent="0.2">
      <c r="A37" s="41">
        <v>22</v>
      </c>
      <c r="B37" s="6">
        <v>59.019999999999996</v>
      </c>
      <c r="C37" s="4">
        <v>62.919999999999995</v>
      </c>
      <c r="D37" s="57">
        <f t="shared" si="1"/>
        <v>60.97</v>
      </c>
      <c r="E37" s="58">
        <f t="shared" si="2"/>
        <v>1.0660792951541851</v>
      </c>
      <c r="F37" s="59" t="str">
        <f t="shared" si="0"/>
        <v/>
      </c>
      <c r="G37" s="60">
        <f t="shared" si="3"/>
        <v>3.8999999999999986</v>
      </c>
      <c r="H37" s="61" t="str">
        <f t="shared" si="4"/>
        <v/>
      </c>
      <c r="I37" s="9"/>
      <c r="J37" s="47"/>
      <c r="K37" s="48"/>
      <c r="L37" s="48"/>
      <c r="M37" s="48"/>
      <c r="N37" s="48"/>
      <c r="O37" s="48"/>
      <c r="P37" s="49"/>
      <c r="Q37" s="73"/>
      <c r="R37" s="51">
        <f t="shared" si="5"/>
        <v>60.97</v>
      </c>
      <c r="S37" s="51">
        <f t="shared" si="6"/>
        <v>1.0660792951541851</v>
      </c>
      <c r="T37" s="93"/>
      <c r="U37" s="133"/>
      <c r="V37" s="93"/>
      <c r="W37" s="93"/>
      <c r="X37" s="93"/>
      <c r="Y37" s="93"/>
      <c r="AA37" s="51">
        <f t="shared" si="7"/>
        <v>3.8999999999999986</v>
      </c>
      <c r="AC37" s="17"/>
      <c r="AE37" s="138"/>
      <c r="AF37" s="18"/>
      <c r="AG37" s="40"/>
      <c r="AI37" s="21"/>
      <c r="AJ37" s="21"/>
      <c r="AK37" s="21"/>
    </row>
    <row r="38" spans="1:37" x14ac:dyDescent="0.2">
      <c r="A38" s="41">
        <v>23</v>
      </c>
      <c r="B38" s="6">
        <v>34.840000000000003</v>
      </c>
      <c r="C38" s="4">
        <v>33.28</v>
      </c>
      <c r="D38" s="57">
        <f t="shared" si="1"/>
        <v>34.06</v>
      </c>
      <c r="E38" s="58">
        <f t="shared" si="2"/>
        <v>0.95522388059701491</v>
      </c>
      <c r="F38" s="59" t="str">
        <f t="shared" si="0"/>
        <v/>
      </c>
      <c r="G38" s="60">
        <f t="shared" si="3"/>
        <v>-1.5600000000000023</v>
      </c>
      <c r="H38" s="61" t="str">
        <f t="shared" si="4"/>
        <v/>
      </c>
      <c r="I38" s="9"/>
      <c r="J38" s="47"/>
      <c r="K38" s="48"/>
      <c r="L38" s="48"/>
      <c r="M38" s="48"/>
      <c r="N38" s="48"/>
      <c r="O38" s="48"/>
      <c r="P38" s="49"/>
      <c r="R38" s="51">
        <f t="shared" si="5"/>
        <v>34.06</v>
      </c>
      <c r="S38" s="51">
        <f t="shared" si="6"/>
        <v>0.95522388059701491</v>
      </c>
      <c r="T38" s="93"/>
      <c r="U38" s="133"/>
      <c r="V38" s="93"/>
      <c r="W38" s="93"/>
      <c r="X38" s="93"/>
      <c r="Y38" s="93"/>
      <c r="AA38" s="51">
        <f t="shared" si="7"/>
        <v>-1.5600000000000023</v>
      </c>
      <c r="AC38" s="17"/>
      <c r="AE38" s="138"/>
      <c r="AF38" s="18"/>
      <c r="AG38" s="40"/>
      <c r="AI38" s="21"/>
      <c r="AJ38" s="21"/>
      <c r="AK38" s="21"/>
    </row>
    <row r="39" spans="1:37" x14ac:dyDescent="0.2">
      <c r="A39" s="41">
        <v>24</v>
      </c>
      <c r="B39" s="6">
        <v>69.42</v>
      </c>
      <c r="C39" s="4">
        <v>75.14</v>
      </c>
      <c r="D39" s="57">
        <f t="shared" si="1"/>
        <v>72.28</v>
      </c>
      <c r="E39" s="58">
        <f t="shared" si="2"/>
        <v>1.0823970037453183</v>
      </c>
      <c r="F39" s="59" t="str">
        <f t="shared" si="0"/>
        <v/>
      </c>
      <c r="G39" s="60">
        <f t="shared" si="3"/>
        <v>5.7199999999999989</v>
      </c>
      <c r="H39" s="61" t="str">
        <f t="shared" si="4"/>
        <v/>
      </c>
      <c r="I39" s="9"/>
      <c r="J39" s="47"/>
      <c r="K39" s="48"/>
      <c r="L39" s="48"/>
      <c r="M39" s="48"/>
      <c r="N39" s="48"/>
      <c r="O39" s="48"/>
      <c r="P39" s="49"/>
      <c r="R39" s="51">
        <f t="shared" si="5"/>
        <v>72.28</v>
      </c>
      <c r="S39" s="51">
        <f t="shared" si="6"/>
        <v>1.0823970037453183</v>
      </c>
      <c r="T39" s="93"/>
      <c r="U39" s="133"/>
      <c r="V39" s="93"/>
      <c r="W39" s="93"/>
      <c r="X39" s="93"/>
      <c r="Y39" s="93"/>
      <c r="AA39" s="51">
        <f t="shared" si="7"/>
        <v>5.7199999999999989</v>
      </c>
      <c r="AC39" s="17"/>
      <c r="AE39" s="138"/>
      <c r="AF39" s="18"/>
      <c r="AG39" s="40"/>
      <c r="AI39" s="21"/>
      <c r="AJ39" s="21"/>
      <c r="AK39" s="21"/>
    </row>
    <row r="40" spans="1:37" x14ac:dyDescent="0.2">
      <c r="A40" s="41">
        <v>25</v>
      </c>
      <c r="B40" s="6">
        <v>13.78</v>
      </c>
      <c r="C40" s="4">
        <v>13.78</v>
      </c>
      <c r="D40" s="57">
        <f t="shared" si="1"/>
        <v>13.78</v>
      </c>
      <c r="E40" s="58">
        <f t="shared" si="2"/>
        <v>1</v>
      </c>
      <c r="F40" s="59" t="str">
        <f t="shared" si="0"/>
        <v/>
      </c>
      <c r="G40" s="60">
        <f t="shared" si="3"/>
        <v>0</v>
      </c>
      <c r="H40" s="61" t="str">
        <f t="shared" si="4"/>
        <v/>
      </c>
      <c r="I40" s="9"/>
      <c r="J40" s="47"/>
      <c r="K40" s="48"/>
      <c r="L40" s="48"/>
      <c r="M40" s="48"/>
      <c r="N40" s="48"/>
      <c r="O40" s="48"/>
      <c r="P40" s="49"/>
      <c r="R40" s="51">
        <f t="shared" si="5"/>
        <v>13.78</v>
      </c>
      <c r="S40" s="51">
        <f t="shared" si="6"/>
        <v>1</v>
      </c>
      <c r="T40" s="93"/>
      <c r="U40" s="133"/>
      <c r="V40" s="93"/>
      <c r="W40" s="93"/>
      <c r="X40" s="93"/>
      <c r="Y40" s="93"/>
      <c r="AA40" s="51">
        <f t="shared" si="7"/>
        <v>0</v>
      </c>
      <c r="AC40" s="17"/>
      <c r="AE40" s="138"/>
      <c r="AF40" s="18"/>
      <c r="AG40" s="40"/>
      <c r="AI40" s="21"/>
      <c r="AJ40" s="21"/>
      <c r="AK40" s="21"/>
    </row>
    <row r="41" spans="1:37" x14ac:dyDescent="0.2">
      <c r="A41" s="41">
        <v>26</v>
      </c>
      <c r="B41" s="6">
        <v>102.69999999999999</v>
      </c>
      <c r="C41" s="4">
        <v>108.42</v>
      </c>
      <c r="D41" s="57">
        <f t="shared" si="1"/>
        <v>105.56</v>
      </c>
      <c r="E41" s="58">
        <f t="shared" si="2"/>
        <v>1.0556962025316456</v>
      </c>
      <c r="F41" s="59" t="str">
        <f t="shared" si="0"/>
        <v/>
      </c>
      <c r="G41" s="60">
        <f t="shared" si="3"/>
        <v>5.7200000000000131</v>
      </c>
      <c r="H41" s="61" t="str">
        <f t="shared" si="4"/>
        <v/>
      </c>
      <c r="I41" s="9"/>
      <c r="J41" s="47"/>
      <c r="K41" s="48"/>
      <c r="L41" s="48"/>
      <c r="M41" s="48"/>
      <c r="N41" s="48"/>
      <c r="O41" s="48"/>
      <c r="P41" s="49"/>
      <c r="R41" s="51">
        <f t="shared" si="5"/>
        <v>105.56</v>
      </c>
      <c r="S41" s="51">
        <f t="shared" si="6"/>
        <v>1.0556962025316456</v>
      </c>
      <c r="T41" s="93"/>
      <c r="U41" s="133"/>
      <c r="V41" s="93"/>
      <c r="W41" s="93"/>
      <c r="X41" s="93"/>
      <c r="Y41" s="93"/>
      <c r="AA41" s="51">
        <f t="shared" si="7"/>
        <v>5.7200000000000131</v>
      </c>
      <c r="AC41" s="17"/>
      <c r="AE41" s="138"/>
      <c r="AF41" s="18"/>
      <c r="AG41" s="40"/>
      <c r="AI41" s="21"/>
      <c r="AJ41" s="21"/>
      <c r="AK41" s="21"/>
    </row>
    <row r="42" spans="1:37" x14ac:dyDescent="0.2">
      <c r="A42" s="41">
        <v>27</v>
      </c>
      <c r="B42" s="6">
        <v>41.08</v>
      </c>
      <c r="C42" s="4">
        <v>47.580000000000005</v>
      </c>
      <c r="D42" s="57">
        <f t="shared" si="1"/>
        <v>44.33</v>
      </c>
      <c r="E42" s="58">
        <f t="shared" si="2"/>
        <v>1.158227848101266</v>
      </c>
      <c r="F42" s="59" t="str">
        <f t="shared" si="0"/>
        <v/>
      </c>
      <c r="G42" s="60">
        <f t="shared" si="3"/>
        <v>6.5000000000000071</v>
      </c>
      <c r="H42" s="61" t="str">
        <f t="shared" si="4"/>
        <v/>
      </c>
      <c r="I42" s="9"/>
      <c r="J42" s="47"/>
      <c r="K42" s="48"/>
      <c r="L42" s="48"/>
      <c r="M42" s="48"/>
      <c r="N42" s="48"/>
      <c r="O42" s="48"/>
      <c r="P42" s="74"/>
      <c r="R42" s="51">
        <f t="shared" si="5"/>
        <v>44.33</v>
      </c>
      <c r="S42" s="51">
        <f t="shared" si="6"/>
        <v>1.158227848101266</v>
      </c>
      <c r="T42" s="93"/>
      <c r="U42" s="133"/>
      <c r="V42" s="93"/>
      <c r="W42" s="93"/>
      <c r="X42" s="93"/>
      <c r="Y42" s="93"/>
      <c r="AA42" s="51">
        <f t="shared" si="7"/>
        <v>6.5000000000000071</v>
      </c>
      <c r="AC42" s="17"/>
      <c r="AE42" s="138"/>
      <c r="AF42" s="18"/>
      <c r="AG42" s="40"/>
      <c r="AI42" s="21"/>
      <c r="AJ42" s="21"/>
      <c r="AK42" s="21"/>
    </row>
    <row r="43" spans="1:37" x14ac:dyDescent="0.2">
      <c r="A43" s="41">
        <v>28</v>
      </c>
      <c r="B43" s="6">
        <v>27.69</v>
      </c>
      <c r="C43" s="4">
        <v>26.45</v>
      </c>
      <c r="D43" s="57">
        <f t="shared" si="1"/>
        <v>27.07</v>
      </c>
      <c r="E43" s="58">
        <f t="shared" si="2"/>
        <v>0.95521849042975793</v>
      </c>
      <c r="F43" s="59" t="str">
        <f t="shared" si="0"/>
        <v/>
      </c>
      <c r="G43" s="60">
        <f t="shared" si="3"/>
        <v>-1.240000000000002</v>
      </c>
      <c r="H43" s="61" t="str">
        <f t="shared" si="4"/>
        <v/>
      </c>
      <c r="I43" s="9"/>
      <c r="J43" s="47"/>
      <c r="K43" s="48"/>
      <c r="L43" s="48"/>
      <c r="M43" s="48"/>
      <c r="N43" s="48"/>
      <c r="O43" s="48"/>
      <c r="P43" s="74"/>
      <c r="R43" s="51">
        <f t="shared" si="5"/>
        <v>27.07</v>
      </c>
      <c r="S43" s="51">
        <f t="shared" si="6"/>
        <v>0.95521849042975793</v>
      </c>
      <c r="T43" s="93"/>
      <c r="U43" s="133"/>
      <c r="V43" s="93"/>
      <c r="W43" s="93"/>
      <c r="X43" s="93"/>
      <c r="Y43" s="93"/>
      <c r="AA43" s="51">
        <f t="shared" si="7"/>
        <v>-1.240000000000002</v>
      </c>
      <c r="AC43" s="17"/>
      <c r="AE43" s="138"/>
      <c r="AF43" s="18"/>
      <c r="AG43" s="40"/>
      <c r="AI43" s="21"/>
      <c r="AJ43" s="21"/>
      <c r="AK43" s="21"/>
    </row>
    <row r="44" spans="1:37" ht="17" x14ac:dyDescent="0.35">
      <c r="A44" s="41">
        <v>29</v>
      </c>
      <c r="B44" s="6">
        <v>55.18</v>
      </c>
      <c r="C44" s="4">
        <v>59.72</v>
      </c>
      <c r="D44" s="57">
        <f t="shared" si="1"/>
        <v>57.45</v>
      </c>
      <c r="E44" s="58">
        <f t="shared" si="2"/>
        <v>1.0822761870242841</v>
      </c>
      <c r="F44" s="59" t="str">
        <f t="shared" si="0"/>
        <v/>
      </c>
      <c r="G44" s="60">
        <f t="shared" si="3"/>
        <v>4.5399999999999991</v>
      </c>
      <c r="H44" s="61" t="str">
        <f t="shared" si="4"/>
        <v/>
      </c>
      <c r="I44" s="9"/>
      <c r="J44" s="75" t="s">
        <v>74</v>
      </c>
      <c r="K44" s="76">
        <f>AVERAGE(E16:E115)</f>
        <v>1.0750988244017088</v>
      </c>
      <c r="L44" s="76"/>
      <c r="M44" s="76"/>
      <c r="N44" s="64" t="s">
        <v>63</v>
      </c>
      <c r="O44" s="76">
        <f>K44+2*K45</f>
        <v>1.2434136962197051</v>
      </c>
      <c r="P44" s="77"/>
      <c r="R44" s="51">
        <f t="shared" si="5"/>
        <v>57.45</v>
      </c>
      <c r="S44" s="51">
        <f t="shared" si="6"/>
        <v>1.0822761870242841</v>
      </c>
      <c r="T44" s="93"/>
      <c r="U44" s="133"/>
      <c r="V44" s="93"/>
      <c r="W44" s="93"/>
      <c r="X44" s="93"/>
      <c r="Y44" s="93"/>
      <c r="AA44" s="51">
        <f t="shared" si="7"/>
        <v>4.5399999999999991</v>
      </c>
      <c r="AC44" s="17"/>
      <c r="AE44" s="138"/>
      <c r="AF44" s="18"/>
      <c r="AG44" s="40"/>
      <c r="AI44" s="21"/>
      <c r="AJ44" s="21"/>
      <c r="AK44" s="21"/>
    </row>
    <row r="45" spans="1:37" ht="17" x14ac:dyDescent="0.35">
      <c r="A45" s="41">
        <v>30</v>
      </c>
      <c r="B45" s="6">
        <v>10.95</v>
      </c>
      <c r="C45" s="4">
        <v>10.95</v>
      </c>
      <c r="D45" s="57">
        <f t="shared" si="1"/>
        <v>10.95</v>
      </c>
      <c r="E45" s="58">
        <f t="shared" si="2"/>
        <v>1</v>
      </c>
      <c r="F45" s="59" t="str">
        <f t="shared" si="0"/>
        <v/>
      </c>
      <c r="G45" s="60">
        <f t="shared" si="3"/>
        <v>0</v>
      </c>
      <c r="H45" s="61" t="str">
        <f t="shared" si="4"/>
        <v/>
      </c>
      <c r="I45" s="9"/>
      <c r="J45" s="78" t="s">
        <v>61</v>
      </c>
      <c r="K45" s="76">
        <f>_xlfn.STDEV.S(E16:E115)</f>
        <v>8.4157435908998116E-2</v>
      </c>
      <c r="L45" s="76"/>
      <c r="M45" s="76"/>
      <c r="N45" s="64" t="s">
        <v>64</v>
      </c>
      <c r="O45" s="76">
        <f>K44-2*K45</f>
        <v>0.90678395258371258</v>
      </c>
      <c r="P45" s="77"/>
      <c r="R45" s="51">
        <f t="shared" si="5"/>
        <v>10.95</v>
      </c>
      <c r="S45" s="51">
        <f t="shared" si="6"/>
        <v>1</v>
      </c>
      <c r="T45" s="93"/>
      <c r="U45" s="133"/>
      <c r="V45" s="93"/>
      <c r="W45" s="93"/>
      <c r="X45" s="93"/>
      <c r="Y45" s="93"/>
      <c r="AA45" s="51">
        <f t="shared" si="7"/>
        <v>0</v>
      </c>
      <c r="AC45" s="17"/>
      <c r="AE45" s="138"/>
      <c r="AF45" s="18"/>
      <c r="AG45" s="40"/>
      <c r="AI45" s="21"/>
      <c r="AJ45" s="21"/>
      <c r="AK45" s="21"/>
    </row>
    <row r="46" spans="1:37" x14ac:dyDescent="0.2">
      <c r="A46" s="41">
        <v>31</v>
      </c>
      <c r="B46" s="6">
        <v>81.63</v>
      </c>
      <c r="C46" s="4">
        <v>86.179999999999993</v>
      </c>
      <c r="D46" s="57">
        <f t="shared" si="1"/>
        <v>83.905000000000001</v>
      </c>
      <c r="E46" s="58">
        <f t="shared" si="2"/>
        <v>1.0557393115276246</v>
      </c>
      <c r="F46" s="59" t="str">
        <f t="shared" si="0"/>
        <v/>
      </c>
      <c r="G46" s="60">
        <f t="shared" si="3"/>
        <v>4.5499999999999972</v>
      </c>
      <c r="H46" s="61" t="str">
        <f t="shared" si="4"/>
        <v/>
      </c>
      <c r="I46" s="9"/>
      <c r="J46" s="79"/>
      <c r="K46" s="76"/>
      <c r="L46" s="76"/>
      <c r="M46" s="76"/>
      <c r="N46" s="76"/>
      <c r="O46" s="76"/>
      <c r="P46" s="77"/>
      <c r="R46" s="51">
        <f t="shared" si="5"/>
        <v>83.905000000000001</v>
      </c>
      <c r="S46" s="51">
        <f t="shared" si="6"/>
        <v>1.0557393115276246</v>
      </c>
      <c r="T46" s="93"/>
      <c r="U46" s="133"/>
      <c r="V46" s="93"/>
      <c r="W46" s="93"/>
      <c r="X46" s="93"/>
      <c r="Y46" s="93"/>
      <c r="AA46" s="51">
        <f t="shared" si="7"/>
        <v>4.5499999999999972</v>
      </c>
      <c r="AC46" s="17"/>
      <c r="AE46" s="138"/>
      <c r="AF46" s="18"/>
      <c r="AG46" s="40"/>
      <c r="AI46" s="21"/>
      <c r="AJ46" s="21"/>
      <c r="AK46" s="21"/>
    </row>
    <row r="47" spans="1:37" ht="17" x14ac:dyDescent="0.35">
      <c r="A47" s="41">
        <v>32</v>
      </c>
      <c r="B47" s="6">
        <v>32.65</v>
      </c>
      <c r="C47" s="4">
        <v>37.82</v>
      </c>
      <c r="D47" s="57">
        <f t="shared" si="1"/>
        <v>35.234999999999999</v>
      </c>
      <c r="E47" s="58">
        <f t="shared" si="2"/>
        <v>1.1583460949464013</v>
      </c>
      <c r="F47" s="59" t="str">
        <f t="shared" si="0"/>
        <v/>
      </c>
      <c r="G47" s="60">
        <f t="shared" si="3"/>
        <v>5.1700000000000017</v>
      </c>
      <c r="H47" s="61" t="str">
        <f t="shared" si="4"/>
        <v/>
      </c>
      <c r="I47" s="9"/>
      <c r="J47" s="79"/>
      <c r="K47" s="64" t="s">
        <v>60</v>
      </c>
      <c r="L47" s="80">
        <f>E9</f>
        <v>0.3</v>
      </c>
      <c r="M47" s="76"/>
      <c r="N47" s="64" t="s">
        <v>66</v>
      </c>
      <c r="O47" s="81">
        <f>1+E9</f>
        <v>1.3</v>
      </c>
      <c r="P47" s="82"/>
      <c r="R47" s="51">
        <f t="shared" si="5"/>
        <v>35.234999999999999</v>
      </c>
      <c r="S47" s="51">
        <f t="shared" si="6"/>
        <v>1.1583460949464013</v>
      </c>
      <c r="T47" s="93"/>
      <c r="U47" s="133"/>
      <c r="V47" s="93"/>
      <c r="W47" s="93"/>
      <c r="X47" s="93"/>
      <c r="Y47" s="93"/>
      <c r="AA47" s="51">
        <f t="shared" si="7"/>
        <v>5.1700000000000017</v>
      </c>
      <c r="AC47" s="17"/>
      <c r="AE47" s="138"/>
      <c r="AF47" s="18"/>
      <c r="AG47" s="40"/>
      <c r="AI47" s="21"/>
      <c r="AJ47" s="21"/>
      <c r="AK47" s="21"/>
    </row>
    <row r="48" spans="1:37" ht="17" x14ac:dyDescent="0.35">
      <c r="A48" s="41">
        <v>33</v>
      </c>
      <c r="B48" s="6">
        <v>35.549999999999997</v>
      </c>
      <c r="C48" s="4">
        <v>39.47</v>
      </c>
      <c r="D48" s="57">
        <f t="shared" si="1"/>
        <v>37.51</v>
      </c>
      <c r="E48" s="58">
        <f t="shared" si="2"/>
        <v>1.110267229254571</v>
      </c>
      <c r="F48" s="59" t="str">
        <f t="shared" si="0"/>
        <v/>
      </c>
      <c r="G48" s="60">
        <f t="shared" si="3"/>
        <v>3.9200000000000017</v>
      </c>
      <c r="H48" s="61" t="str">
        <f t="shared" si="4"/>
        <v/>
      </c>
      <c r="I48" s="9"/>
      <c r="J48" s="79"/>
      <c r="K48" s="64" t="s">
        <v>14</v>
      </c>
      <c r="L48" s="80">
        <f>1-F119/D119</f>
        <v>1</v>
      </c>
      <c r="M48" s="76"/>
      <c r="N48" s="64" t="s">
        <v>67</v>
      </c>
      <c r="O48" s="81">
        <f>1-E9</f>
        <v>0.7</v>
      </c>
      <c r="P48" s="77"/>
      <c r="R48" s="51">
        <f t="shared" si="5"/>
        <v>37.51</v>
      </c>
      <c r="S48" s="51">
        <f t="shared" si="6"/>
        <v>1.110267229254571</v>
      </c>
      <c r="T48" s="93"/>
      <c r="U48" s="133"/>
      <c r="V48" s="93"/>
      <c r="W48" s="93"/>
      <c r="X48" s="93"/>
      <c r="Y48" s="93"/>
      <c r="AA48" s="51">
        <f t="shared" si="7"/>
        <v>3.9200000000000017</v>
      </c>
      <c r="AC48" s="17"/>
      <c r="AE48" s="138"/>
      <c r="AF48" s="18"/>
      <c r="AG48" s="40"/>
      <c r="AI48" s="21"/>
      <c r="AJ48" s="21"/>
      <c r="AK48" s="21"/>
    </row>
    <row r="49" spans="1:37" x14ac:dyDescent="0.2">
      <c r="A49" s="41">
        <v>34</v>
      </c>
      <c r="B49" s="6">
        <v>59.73</v>
      </c>
      <c r="C49" s="4">
        <v>59.93</v>
      </c>
      <c r="D49" s="57">
        <f t="shared" si="1"/>
        <v>59.83</v>
      </c>
      <c r="E49" s="58">
        <f t="shared" si="2"/>
        <v>1.0033484011384564</v>
      </c>
      <c r="F49" s="59" t="str">
        <f t="shared" si="0"/>
        <v/>
      </c>
      <c r="G49" s="60">
        <f t="shared" si="3"/>
        <v>0.20000000000000284</v>
      </c>
      <c r="H49" s="61" t="str">
        <f t="shared" si="4"/>
        <v/>
      </c>
      <c r="I49" s="9"/>
      <c r="J49" s="79">
        <f>D119-F119</f>
        <v>36</v>
      </c>
      <c r="K49" s="68" t="s">
        <v>49</v>
      </c>
      <c r="L49" s="83">
        <f>D119</f>
        <v>36</v>
      </c>
      <c r="M49" s="76"/>
      <c r="N49" s="76"/>
      <c r="O49" s="76"/>
      <c r="P49" s="77"/>
      <c r="R49" s="51">
        <f t="shared" si="5"/>
        <v>59.83</v>
      </c>
      <c r="S49" s="51">
        <f t="shared" si="6"/>
        <v>1.0033484011384564</v>
      </c>
      <c r="T49" s="93"/>
      <c r="U49" s="133"/>
      <c r="V49" s="93"/>
      <c r="W49" s="93"/>
      <c r="X49" s="93"/>
      <c r="Y49" s="93"/>
      <c r="AA49" s="51">
        <f t="shared" si="7"/>
        <v>0.20000000000000284</v>
      </c>
      <c r="AC49" s="17"/>
      <c r="AE49" s="138"/>
      <c r="AF49" s="18"/>
      <c r="AG49" s="40"/>
      <c r="AI49" s="21"/>
      <c r="AJ49" s="21"/>
      <c r="AK49" s="21"/>
    </row>
    <row r="50" spans="1:37" ht="13.6" thickBot="1" x14ac:dyDescent="0.25">
      <c r="A50" s="41">
        <v>35</v>
      </c>
      <c r="B50" s="6">
        <v>7.65</v>
      </c>
      <c r="C50" s="4">
        <v>9.51</v>
      </c>
      <c r="D50" s="57">
        <f t="shared" si="1"/>
        <v>8.58</v>
      </c>
      <c r="E50" s="58">
        <f t="shared" si="2"/>
        <v>1.2431372549019608</v>
      </c>
      <c r="F50" s="59" t="str">
        <f t="shared" si="0"/>
        <v/>
      </c>
      <c r="G50" s="60">
        <f t="shared" si="3"/>
        <v>1.8599999999999994</v>
      </c>
      <c r="H50" s="61" t="str">
        <f t="shared" si="4"/>
        <v/>
      </c>
      <c r="I50" s="9"/>
      <c r="J50" s="84"/>
      <c r="K50" s="85"/>
      <c r="L50" s="85"/>
      <c r="M50" s="85"/>
      <c r="N50" s="85"/>
      <c r="O50" s="85"/>
      <c r="P50" s="86"/>
      <c r="R50" s="51">
        <f t="shared" si="5"/>
        <v>8.58</v>
      </c>
      <c r="S50" s="51">
        <f t="shared" si="6"/>
        <v>1.2431372549019608</v>
      </c>
      <c r="T50" s="93"/>
      <c r="U50" s="133"/>
      <c r="V50" s="93"/>
      <c r="W50" s="93"/>
      <c r="X50" s="93"/>
      <c r="Y50" s="93"/>
      <c r="AA50" s="51">
        <f t="shared" si="7"/>
        <v>1.8599999999999994</v>
      </c>
      <c r="AC50" s="17"/>
      <c r="AE50" s="138"/>
      <c r="AF50" s="18"/>
      <c r="AG50" s="40"/>
      <c r="AI50" s="21"/>
      <c r="AJ50" s="21"/>
      <c r="AK50" s="21"/>
    </row>
    <row r="51" spans="1:37" x14ac:dyDescent="0.2">
      <c r="A51" s="41">
        <v>36</v>
      </c>
      <c r="B51" s="6">
        <v>46.91</v>
      </c>
      <c r="C51" s="4">
        <v>50.01</v>
      </c>
      <c r="D51" s="57">
        <f t="shared" si="1"/>
        <v>48.459999999999994</v>
      </c>
      <c r="E51" s="58">
        <f t="shared" si="2"/>
        <v>1.0660839906203368</v>
      </c>
      <c r="F51" s="59" t="str">
        <f t="shared" si="0"/>
        <v/>
      </c>
      <c r="G51" s="60">
        <f t="shared" si="3"/>
        <v>3.1000000000000014</v>
      </c>
      <c r="H51" s="61" t="str">
        <f t="shared" si="4"/>
        <v/>
      </c>
      <c r="I51" s="9"/>
      <c r="J51" s="9"/>
      <c r="K51" s="9"/>
      <c r="L51" s="9"/>
      <c r="M51" s="9"/>
      <c r="N51" s="9"/>
      <c r="O51" s="9"/>
      <c r="P51" s="9"/>
      <c r="R51" s="51">
        <f t="shared" si="5"/>
        <v>48.459999999999994</v>
      </c>
      <c r="S51" s="51">
        <f t="shared" si="6"/>
        <v>1.0660839906203368</v>
      </c>
      <c r="T51" s="93"/>
      <c r="U51" s="133"/>
      <c r="V51" s="93"/>
      <c r="W51" s="93"/>
      <c r="X51" s="93"/>
      <c r="Y51" s="93"/>
      <c r="AA51" s="51">
        <f t="shared" si="7"/>
        <v>3.1000000000000014</v>
      </c>
      <c r="AC51" s="17"/>
      <c r="AE51" s="138"/>
      <c r="AF51" s="18"/>
      <c r="AG51" s="40"/>
      <c r="AI51" s="21"/>
      <c r="AJ51" s="21"/>
      <c r="AK51" s="21"/>
    </row>
    <row r="52" spans="1:37" x14ac:dyDescent="0.2">
      <c r="A52" s="41">
        <v>37</v>
      </c>
      <c r="B52" s="6"/>
      <c r="C52" s="4"/>
      <c r="D52" s="57" t="str">
        <f t="shared" si="1"/>
        <v/>
      </c>
      <c r="E52" s="58" t="str">
        <f t="shared" si="2"/>
        <v/>
      </c>
      <c r="F52" s="59" t="str">
        <f t="shared" si="0"/>
        <v/>
      </c>
      <c r="G52" s="60" t="str">
        <f t="shared" si="3"/>
        <v/>
      </c>
      <c r="H52" s="61" t="str">
        <f t="shared" si="4"/>
        <v/>
      </c>
      <c r="I52" s="9"/>
      <c r="J52" s="9"/>
      <c r="K52" s="9"/>
      <c r="L52" s="9"/>
      <c r="M52" s="9"/>
      <c r="N52" s="9"/>
      <c r="O52" s="9"/>
      <c r="P52" s="9"/>
      <c r="R52" s="51" t="e">
        <f t="shared" si="5"/>
        <v>#N/A</v>
      </c>
      <c r="S52" s="51" t="e">
        <f t="shared" si="6"/>
        <v>#N/A</v>
      </c>
      <c r="T52" s="93"/>
      <c r="U52" s="133"/>
      <c r="V52" s="93"/>
      <c r="W52" s="93"/>
      <c r="X52" s="93"/>
      <c r="Y52" s="93"/>
      <c r="AA52" s="51" t="e">
        <f t="shared" si="7"/>
        <v>#N/A</v>
      </c>
      <c r="AC52" s="17"/>
      <c r="AE52" s="139"/>
      <c r="AF52" s="18"/>
      <c r="AG52" s="40"/>
      <c r="AI52" s="21"/>
      <c r="AJ52" s="21"/>
      <c r="AK52" s="21"/>
    </row>
    <row r="53" spans="1:37" x14ac:dyDescent="0.2">
      <c r="A53" s="41">
        <v>38</v>
      </c>
      <c r="B53" s="6"/>
      <c r="C53" s="4"/>
      <c r="D53" s="57" t="str">
        <f t="shared" si="1"/>
        <v/>
      </c>
      <c r="E53" s="58" t="str">
        <f t="shared" si="2"/>
        <v/>
      </c>
      <c r="F53" s="59" t="str">
        <f t="shared" si="0"/>
        <v/>
      </c>
      <c r="G53" s="60" t="str">
        <f t="shared" si="3"/>
        <v/>
      </c>
      <c r="H53" s="61" t="str">
        <f t="shared" si="4"/>
        <v/>
      </c>
      <c r="I53" s="9"/>
      <c r="J53" s="9"/>
      <c r="K53" s="9"/>
      <c r="L53" s="9"/>
      <c r="M53" s="9"/>
      <c r="N53" s="9"/>
      <c r="O53" s="9"/>
      <c r="P53" s="9"/>
      <c r="R53" s="51" t="e">
        <f t="shared" si="5"/>
        <v>#N/A</v>
      </c>
      <c r="S53" s="51" t="e">
        <f t="shared" si="6"/>
        <v>#N/A</v>
      </c>
      <c r="T53" s="93"/>
      <c r="U53" s="133"/>
      <c r="V53" s="93"/>
      <c r="W53" s="93"/>
      <c r="X53" s="93"/>
      <c r="Y53" s="93"/>
      <c r="AA53" s="51" t="e">
        <f t="shared" si="7"/>
        <v>#N/A</v>
      </c>
      <c r="AC53" s="17"/>
      <c r="AE53" s="139"/>
      <c r="AF53" s="18"/>
      <c r="AG53" s="40"/>
      <c r="AI53" s="21"/>
      <c r="AJ53" s="21"/>
      <c r="AK53" s="21"/>
    </row>
    <row r="54" spans="1:37" x14ac:dyDescent="0.2">
      <c r="A54" s="41">
        <v>39</v>
      </c>
      <c r="B54" s="6"/>
      <c r="C54" s="4"/>
      <c r="D54" s="57" t="str">
        <f t="shared" si="1"/>
        <v/>
      </c>
      <c r="E54" s="58" t="str">
        <f t="shared" si="2"/>
        <v/>
      </c>
      <c r="F54" s="59" t="str">
        <f t="shared" si="0"/>
        <v/>
      </c>
      <c r="G54" s="60" t="str">
        <f t="shared" si="3"/>
        <v/>
      </c>
      <c r="H54" s="61" t="str">
        <f t="shared" si="4"/>
        <v/>
      </c>
      <c r="I54" s="9"/>
      <c r="J54" s="9"/>
      <c r="K54" s="9"/>
      <c r="L54" s="9"/>
      <c r="M54" s="9"/>
      <c r="N54" s="9"/>
      <c r="O54" s="9"/>
      <c r="P54" s="9"/>
      <c r="R54" s="51" t="e">
        <f t="shared" si="5"/>
        <v>#N/A</v>
      </c>
      <c r="S54" s="51" t="e">
        <f t="shared" si="6"/>
        <v>#N/A</v>
      </c>
      <c r="T54" s="93"/>
      <c r="U54" s="133"/>
      <c r="V54" s="93"/>
      <c r="W54" s="93"/>
      <c r="X54" s="93"/>
      <c r="Y54" s="93"/>
      <c r="Z54" s="87"/>
      <c r="AA54" s="51" t="e">
        <f t="shared" si="7"/>
        <v>#N/A</v>
      </c>
      <c r="AC54" s="17"/>
      <c r="AE54" s="139"/>
      <c r="AF54" s="18"/>
      <c r="AG54" s="40"/>
      <c r="AI54" s="21"/>
      <c r="AJ54" s="21"/>
      <c r="AK54" s="21"/>
    </row>
    <row r="55" spans="1:37" x14ac:dyDescent="0.2">
      <c r="A55" s="41">
        <v>40</v>
      </c>
      <c r="B55" s="6"/>
      <c r="C55" s="4"/>
      <c r="D55" s="57" t="str">
        <f t="shared" si="1"/>
        <v/>
      </c>
      <c r="E55" s="58" t="str">
        <f t="shared" si="2"/>
        <v/>
      </c>
      <c r="F55" s="59" t="str">
        <f t="shared" si="0"/>
        <v/>
      </c>
      <c r="G55" s="60" t="str">
        <f t="shared" si="3"/>
        <v/>
      </c>
      <c r="H55" s="61" t="str">
        <f t="shared" si="4"/>
        <v/>
      </c>
      <c r="I55" s="9"/>
      <c r="J55" s="9"/>
      <c r="K55" s="9"/>
      <c r="L55" s="9"/>
      <c r="M55" s="9"/>
      <c r="N55" s="9"/>
      <c r="O55" s="9"/>
      <c r="P55" s="9"/>
      <c r="R55" s="51" t="e">
        <f t="shared" si="5"/>
        <v>#N/A</v>
      </c>
      <c r="S55" s="51" t="e">
        <f t="shared" si="6"/>
        <v>#N/A</v>
      </c>
      <c r="T55" s="93"/>
      <c r="U55" s="133"/>
      <c r="V55" s="93"/>
      <c r="W55" s="93"/>
      <c r="X55" s="93"/>
      <c r="Y55" s="93"/>
      <c r="AA55" s="51" t="e">
        <f t="shared" si="7"/>
        <v>#N/A</v>
      </c>
      <c r="AC55" s="17"/>
      <c r="AE55" s="139"/>
      <c r="AF55" s="18"/>
      <c r="AG55" s="40"/>
      <c r="AI55" s="21"/>
      <c r="AJ55" s="21"/>
      <c r="AK55" s="21"/>
    </row>
    <row r="56" spans="1:37" x14ac:dyDescent="0.2">
      <c r="A56" s="41">
        <v>41</v>
      </c>
      <c r="B56" s="6"/>
      <c r="C56" s="4"/>
      <c r="D56" s="57" t="str">
        <f t="shared" ref="D56:D80" si="13">IF(B56="","",(B56+C56)/2)</f>
        <v/>
      </c>
      <c r="E56" s="58" t="str">
        <f t="shared" si="2"/>
        <v/>
      </c>
      <c r="F56" s="59" t="str">
        <f t="shared" si="0"/>
        <v/>
      </c>
      <c r="G56" s="60" t="str">
        <f t="shared" si="3"/>
        <v/>
      </c>
      <c r="H56" s="61" t="str">
        <f t="shared" si="4"/>
        <v/>
      </c>
      <c r="I56" s="9"/>
      <c r="J56" s="9"/>
      <c r="K56" s="9"/>
      <c r="L56" s="9"/>
      <c r="M56" s="9"/>
      <c r="N56" s="9"/>
      <c r="O56" s="9"/>
      <c r="P56" s="9"/>
      <c r="R56" s="51" t="e">
        <f t="shared" si="5"/>
        <v>#N/A</v>
      </c>
      <c r="S56" s="51" t="e">
        <f t="shared" si="6"/>
        <v>#N/A</v>
      </c>
      <c r="T56" s="93"/>
      <c r="U56" s="133"/>
      <c r="V56" s="93"/>
      <c r="W56" s="93"/>
      <c r="X56" s="93"/>
      <c r="Y56" s="93"/>
      <c r="AA56" s="51" t="e">
        <f t="shared" si="7"/>
        <v>#N/A</v>
      </c>
      <c r="AC56" s="17"/>
      <c r="AE56" s="139"/>
      <c r="AF56" s="18"/>
      <c r="AG56" s="40"/>
      <c r="AI56" s="21"/>
      <c r="AJ56" s="21"/>
      <c r="AK56" s="21"/>
    </row>
    <row r="57" spans="1:37" ht="13.6" thickBot="1" x14ac:dyDescent="0.25">
      <c r="A57" s="41">
        <v>42</v>
      </c>
      <c r="B57" s="6"/>
      <c r="C57" s="4"/>
      <c r="D57" s="57" t="str">
        <f t="shared" si="13"/>
        <v/>
      </c>
      <c r="E57" s="58" t="str">
        <f t="shared" si="2"/>
        <v/>
      </c>
      <c r="F57" s="59" t="str">
        <f t="shared" si="0"/>
        <v/>
      </c>
      <c r="G57" s="60" t="str">
        <f t="shared" si="3"/>
        <v/>
      </c>
      <c r="H57" s="61" t="str">
        <f t="shared" si="4"/>
        <v/>
      </c>
      <c r="I57" s="9"/>
      <c r="J57" s="9"/>
      <c r="K57" s="9"/>
      <c r="L57" s="9"/>
      <c r="M57" s="9"/>
      <c r="N57" s="9"/>
      <c r="O57" s="9"/>
      <c r="P57" s="9"/>
      <c r="R57" s="51" t="e">
        <f t="shared" si="5"/>
        <v>#N/A</v>
      </c>
      <c r="S57" s="51" t="e">
        <f t="shared" si="6"/>
        <v>#N/A</v>
      </c>
      <c r="T57" s="93"/>
      <c r="U57" s="133"/>
      <c r="V57" s="93"/>
      <c r="W57" s="93"/>
      <c r="X57" s="93"/>
      <c r="Y57" s="93"/>
      <c r="AA57" s="51" t="e">
        <f t="shared" si="7"/>
        <v>#N/A</v>
      </c>
      <c r="AC57" s="17"/>
      <c r="AE57" s="139"/>
      <c r="AF57" s="18"/>
      <c r="AG57" s="40"/>
      <c r="AI57" s="21"/>
      <c r="AJ57" s="21"/>
      <c r="AK57" s="21"/>
    </row>
    <row r="58" spans="1:37" ht="13.6" x14ac:dyDescent="0.25">
      <c r="A58" s="41">
        <v>43</v>
      </c>
      <c r="B58" s="6"/>
      <c r="C58" s="4"/>
      <c r="D58" s="57" t="str">
        <f t="shared" si="13"/>
        <v/>
      </c>
      <c r="E58" s="58" t="str">
        <f t="shared" si="2"/>
        <v/>
      </c>
      <c r="F58" s="59" t="str">
        <f t="shared" si="0"/>
        <v/>
      </c>
      <c r="G58" s="60" t="str">
        <f t="shared" si="3"/>
        <v/>
      </c>
      <c r="H58" s="61" t="str">
        <f t="shared" si="4"/>
        <v/>
      </c>
      <c r="I58" s="9"/>
      <c r="J58" s="33" t="s">
        <v>53</v>
      </c>
      <c r="K58" s="34"/>
      <c r="L58" s="34"/>
      <c r="M58" s="130" t="s">
        <v>51</v>
      </c>
      <c r="N58" s="34"/>
      <c r="O58" s="34"/>
      <c r="P58" s="35"/>
      <c r="R58" s="51" t="e">
        <f t="shared" si="5"/>
        <v>#N/A</v>
      </c>
      <c r="S58" s="51" t="e">
        <f t="shared" si="6"/>
        <v>#N/A</v>
      </c>
      <c r="T58" s="93"/>
      <c r="U58" s="133"/>
      <c r="V58" s="93"/>
      <c r="W58" s="93"/>
      <c r="X58" s="93"/>
      <c r="Y58" s="93"/>
      <c r="Z58" s="88"/>
      <c r="AA58" s="51" t="e">
        <f t="shared" si="7"/>
        <v>#N/A</v>
      </c>
      <c r="AC58" s="17"/>
      <c r="AE58" s="139"/>
      <c r="AF58" s="18"/>
      <c r="AG58" s="40"/>
      <c r="AI58" s="21"/>
      <c r="AJ58" s="21"/>
      <c r="AK58" s="21"/>
    </row>
    <row r="59" spans="1:37" x14ac:dyDescent="0.2">
      <c r="A59" s="41">
        <v>44</v>
      </c>
      <c r="B59" s="6"/>
      <c r="C59" s="4"/>
      <c r="D59" s="57" t="str">
        <f t="shared" si="13"/>
        <v/>
      </c>
      <c r="E59" s="58" t="str">
        <f t="shared" si="2"/>
        <v/>
      </c>
      <c r="F59" s="59" t="str">
        <f t="shared" si="0"/>
        <v/>
      </c>
      <c r="G59" s="60" t="str">
        <f t="shared" si="3"/>
        <v/>
      </c>
      <c r="H59" s="61" t="str">
        <f t="shared" si="4"/>
        <v/>
      </c>
      <c r="I59" s="9"/>
      <c r="J59" s="47"/>
      <c r="K59" s="48"/>
      <c r="L59" s="48"/>
      <c r="M59" s="48"/>
      <c r="N59" s="48"/>
      <c r="O59" s="48"/>
      <c r="P59" s="49"/>
      <c r="Q59" s="89"/>
      <c r="R59" s="51" t="e">
        <f t="shared" si="5"/>
        <v>#N/A</v>
      </c>
      <c r="S59" s="51" t="e">
        <f t="shared" si="6"/>
        <v>#N/A</v>
      </c>
      <c r="T59" s="93"/>
      <c r="U59" s="133"/>
      <c r="V59" s="93"/>
      <c r="W59" s="93"/>
      <c r="X59" s="93"/>
      <c r="Y59" s="93"/>
      <c r="AA59" s="51" t="e">
        <f t="shared" si="7"/>
        <v>#N/A</v>
      </c>
      <c r="AC59" s="17"/>
      <c r="AE59" s="139"/>
      <c r="AF59" s="18"/>
      <c r="AI59" s="21"/>
      <c r="AJ59" s="21"/>
      <c r="AK59" s="21"/>
    </row>
    <row r="60" spans="1:37" x14ac:dyDescent="0.2">
      <c r="A60" s="41">
        <v>45</v>
      </c>
      <c r="B60" s="6"/>
      <c r="C60" s="4"/>
      <c r="D60" s="57" t="str">
        <f t="shared" si="13"/>
        <v/>
      </c>
      <c r="E60" s="58" t="str">
        <f t="shared" si="2"/>
        <v/>
      </c>
      <c r="F60" s="59" t="str">
        <f t="shared" si="0"/>
        <v/>
      </c>
      <c r="G60" s="60" t="str">
        <f t="shared" si="3"/>
        <v/>
      </c>
      <c r="H60" s="61" t="str">
        <f t="shared" si="4"/>
        <v/>
      </c>
      <c r="I60" s="9"/>
      <c r="J60" s="79" t="s">
        <v>55</v>
      </c>
      <c r="K60" s="48"/>
      <c r="L60" s="48"/>
      <c r="M60" s="48"/>
      <c r="N60" s="48"/>
      <c r="O60" s="90">
        <f>E9</f>
        <v>0.3</v>
      </c>
      <c r="P60" s="49"/>
      <c r="Q60" s="91"/>
      <c r="R60" s="51" t="e">
        <f t="shared" si="5"/>
        <v>#N/A</v>
      </c>
      <c r="S60" s="51" t="e">
        <f t="shared" si="6"/>
        <v>#N/A</v>
      </c>
      <c r="T60" s="93"/>
      <c r="U60" s="133"/>
      <c r="V60" s="93"/>
      <c r="W60" s="93"/>
      <c r="X60" s="93"/>
      <c r="Y60" s="93"/>
      <c r="AA60" s="51" t="e">
        <f t="shared" si="7"/>
        <v>#N/A</v>
      </c>
      <c r="AC60" s="17"/>
      <c r="AE60" s="139"/>
      <c r="AF60" s="18"/>
      <c r="AG60" s="40"/>
      <c r="AI60" s="21"/>
      <c r="AJ60" s="21"/>
      <c r="AK60" s="21"/>
    </row>
    <row r="61" spans="1:37" x14ac:dyDescent="0.2">
      <c r="A61" s="41">
        <v>46</v>
      </c>
      <c r="B61" s="6"/>
      <c r="C61" s="4"/>
      <c r="D61" s="57" t="str">
        <f t="shared" si="13"/>
        <v/>
      </c>
      <c r="E61" s="58" t="str">
        <f t="shared" si="2"/>
        <v/>
      </c>
      <c r="F61" s="59" t="str">
        <f t="shared" si="0"/>
        <v/>
      </c>
      <c r="G61" s="60" t="str">
        <f t="shared" si="3"/>
        <v/>
      </c>
      <c r="H61" s="61" t="str">
        <f t="shared" si="4"/>
        <v/>
      </c>
      <c r="I61" s="9"/>
      <c r="J61" s="47"/>
      <c r="K61" s="48"/>
      <c r="L61" s="76"/>
      <c r="M61" s="48"/>
      <c r="N61" s="64" t="s">
        <v>17</v>
      </c>
      <c r="O61" s="129" t="s">
        <v>16</v>
      </c>
      <c r="P61" s="49"/>
      <c r="R61" s="51" t="e">
        <f t="shared" si="5"/>
        <v>#N/A</v>
      </c>
      <c r="S61" s="51" t="e">
        <f t="shared" si="6"/>
        <v>#N/A</v>
      </c>
      <c r="T61" s="93"/>
      <c r="U61" s="133"/>
      <c r="V61" s="93"/>
      <c r="W61" s="93"/>
      <c r="X61" s="93"/>
      <c r="Y61" s="93"/>
      <c r="AA61" s="51" t="e">
        <f t="shared" si="7"/>
        <v>#N/A</v>
      </c>
      <c r="AC61" s="17"/>
      <c r="AE61" s="139"/>
      <c r="AF61" s="18"/>
      <c r="AG61" s="92"/>
      <c r="AI61" s="21"/>
      <c r="AJ61" s="21"/>
      <c r="AK61" s="21"/>
    </row>
    <row r="62" spans="1:37" x14ac:dyDescent="0.2">
      <c r="A62" s="41">
        <v>47</v>
      </c>
      <c r="B62" s="6"/>
      <c r="C62" s="4"/>
      <c r="D62" s="57" t="str">
        <f t="shared" si="13"/>
        <v/>
      </c>
      <c r="E62" s="58" t="str">
        <f t="shared" si="2"/>
        <v/>
      </c>
      <c r="F62" s="59" t="str">
        <f t="shared" si="0"/>
        <v/>
      </c>
      <c r="G62" s="60" t="str">
        <f t="shared" si="3"/>
        <v/>
      </c>
      <c r="H62" s="61" t="str">
        <f t="shared" si="4"/>
        <v/>
      </c>
      <c r="I62" s="9"/>
      <c r="J62" s="47"/>
      <c r="K62" s="48"/>
      <c r="L62" s="48"/>
      <c r="M62" s="48"/>
      <c r="N62" s="48"/>
      <c r="O62" s="76" t="s">
        <v>77</v>
      </c>
      <c r="P62" s="49"/>
      <c r="R62" s="51" t="e">
        <f t="shared" si="5"/>
        <v>#N/A</v>
      </c>
      <c r="S62" s="51" t="e">
        <f t="shared" si="6"/>
        <v>#N/A</v>
      </c>
      <c r="T62" s="93"/>
      <c r="U62" s="133"/>
      <c r="V62" s="93"/>
      <c r="W62" s="93"/>
      <c r="X62" s="93"/>
      <c r="Y62" s="93"/>
      <c r="AA62" s="51" t="e">
        <f t="shared" si="7"/>
        <v>#N/A</v>
      </c>
      <c r="AC62" s="17"/>
      <c r="AE62" s="139"/>
      <c r="AF62" s="18"/>
      <c r="AI62" s="21"/>
      <c r="AJ62" s="21"/>
      <c r="AK62" s="21"/>
    </row>
    <row r="63" spans="1:37" x14ac:dyDescent="0.2">
      <c r="A63" s="41">
        <v>48</v>
      </c>
      <c r="B63" s="6"/>
      <c r="C63" s="4"/>
      <c r="D63" s="57" t="str">
        <f t="shared" si="13"/>
        <v/>
      </c>
      <c r="E63" s="58" t="str">
        <f t="shared" si="2"/>
        <v/>
      </c>
      <c r="F63" s="59" t="str">
        <f t="shared" si="0"/>
        <v/>
      </c>
      <c r="G63" s="60" t="str">
        <f t="shared" si="3"/>
        <v/>
      </c>
      <c r="H63" s="61" t="str">
        <f t="shared" si="4"/>
        <v/>
      </c>
      <c r="I63" s="9"/>
      <c r="J63" s="47"/>
      <c r="K63" s="48"/>
      <c r="L63" s="48"/>
      <c r="M63" s="64" t="str">
        <f>IF(O61="Maximum","xp,max-quer","xp,med-quer")</f>
        <v>xp,max-quer</v>
      </c>
      <c r="N63" s="94">
        <f>IF(O61="Maximum",D118,D117)</f>
        <v>105.56</v>
      </c>
      <c r="O63" s="95" t="str">
        <f>E6</f>
        <v>µg/l</v>
      </c>
      <c r="P63" s="96"/>
      <c r="R63" s="51" t="e">
        <f t="shared" si="5"/>
        <v>#N/A</v>
      </c>
      <c r="S63" s="51" t="e">
        <f t="shared" si="6"/>
        <v>#N/A</v>
      </c>
      <c r="T63" s="93"/>
      <c r="U63" s="133"/>
      <c r="V63" s="93"/>
      <c r="W63" s="93"/>
      <c r="X63" s="93"/>
      <c r="Y63" s="93"/>
      <c r="AA63" s="51" t="e">
        <f t="shared" si="7"/>
        <v>#N/A</v>
      </c>
      <c r="AC63" s="17"/>
      <c r="AE63" s="139"/>
      <c r="AF63" s="18"/>
      <c r="AI63" s="21"/>
      <c r="AJ63" s="21"/>
      <c r="AK63" s="21"/>
    </row>
    <row r="64" spans="1:37" x14ac:dyDescent="0.2">
      <c r="A64" s="41">
        <v>49</v>
      </c>
      <c r="B64" s="6"/>
      <c r="C64" s="4"/>
      <c r="D64" s="57" t="str">
        <f t="shared" si="13"/>
        <v/>
      </c>
      <c r="E64" s="58" t="str">
        <f t="shared" si="2"/>
        <v/>
      </c>
      <c r="F64" s="59" t="str">
        <f t="shared" si="0"/>
        <v/>
      </c>
      <c r="G64" s="60" t="str">
        <f t="shared" si="3"/>
        <v/>
      </c>
      <c r="H64" s="61" t="str">
        <f t="shared" si="4"/>
        <v/>
      </c>
      <c r="I64" s="9"/>
      <c r="J64" s="47"/>
      <c r="K64" s="48"/>
      <c r="L64" s="48"/>
      <c r="M64" s="64" t="s">
        <v>18</v>
      </c>
      <c r="N64" s="97">
        <f>E9*N63</f>
        <v>31.667999999999999</v>
      </c>
      <c r="O64" s="95" t="str">
        <f>E6</f>
        <v>µg/l</v>
      </c>
      <c r="P64" s="49"/>
      <c r="R64" s="51" t="e">
        <f t="shared" si="5"/>
        <v>#N/A</v>
      </c>
      <c r="S64" s="51" t="e">
        <f t="shared" si="6"/>
        <v>#N/A</v>
      </c>
      <c r="T64" s="93"/>
      <c r="U64" s="133"/>
      <c r="V64" s="93"/>
      <c r="W64" s="93"/>
      <c r="X64" s="93"/>
      <c r="Y64" s="93"/>
      <c r="Z64" s="98"/>
      <c r="AA64" s="51" t="e">
        <f t="shared" si="7"/>
        <v>#N/A</v>
      </c>
      <c r="AC64" s="17"/>
      <c r="AE64" s="139"/>
      <c r="AF64" s="18"/>
      <c r="AI64" s="21"/>
      <c r="AJ64" s="21"/>
      <c r="AK64" s="21"/>
    </row>
    <row r="65" spans="1:37" ht="13.6" x14ac:dyDescent="0.25">
      <c r="A65" s="41">
        <v>50</v>
      </c>
      <c r="B65" s="6"/>
      <c r="C65" s="4"/>
      <c r="D65" s="57" t="str">
        <f t="shared" si="13"/>
        <v/>
      </c>
      <c r="E65" s="58" t="str">
        <f t="shared" si="2"/>
        <v/>
      </c>
      <c r="F65" s="59" t="str">
        <f t="shared" si="0"/>
        <v/>
      </c>
      <c r="G65" s="60" t="str">
        <f t="shared" si="3"/>
        <v/>
      </c>
      <c r="H65" s="61" t="str">
        <f t="shared" si="4"/>
        <v/>
      </c>
      <c r="I65" s="9"/>
      <c r="J65" s="47"/>
      <c r="K65" s="72" t="str">
        <f>IF(D119&lt;20,"mindestens 20 Messwerte!","")</f>
        <v/>
      </c>
      <c r="L65" s="48"/>
      <c r="M65" s="48"/>
      <c r="N65" s="48"/>
      <c r="O65" s="48"/>
      <c r="P65" s="49"/>
      <c r="R65" s="51" t="e">
        <f t="shared" si="5"/>
        <v>#N/A</v>
      </c>
      <c r="S65" s="51" t="e">
        <f t="shared" si="6"/>
        <v>#N/A</v>
      </c>
      <c r="T65" s="93"/>
      <c r="U65" s="133"/>
      <c r="V65" s="93"/>
      <c r="W65" s="93"/>
      <c r="X65" s="93"/>
      <c r="Y65" s="93"/>
      <c r="Z65" s="98"/>
      <c r="AA65" s="51" t="e">
        <f t="shared" si="7"/>
        <v>#N/A</v>
      </c>
      <c r="AC65" s="17"/>
      <c r="AE65" s="139"/>
      <c r="AF65" s="18"/>
      <c r="AI65" s="21"/>
      <c r="AJ65" s="21"/>
      <c r="AK65" s="21"/>
    </row>
    <row r="66" spans="1:37" ht="13.6" x14ac:dyDescent="0.25">
      <c r="A66" s="41">
        <v>51</v>
      </c>
      <c r="B66" s="6"/>
      <c r="C66" s="4"/>
      <c r="D66" s="57" t="str">
        <f t="shared" si="13"/>
        <v/>
      </c>
      <c r="E66" s="58" t="str">
        <f t="shared" si="2"/>
        <v/>
      </c>
      <c r="F66" s="59" t="str">
        <f t="shared" si="0"/>
        <v/>
      </c>
      <c r="G66" s="60" t="str">
        <f t="shared" si="3"/>
        <v/>
      </c>
      <c r="H66" s="61" t="str">
        <f t="shared" si="4"/>
        <v/>
      </c>
      <c r="I66" s="9"/>
      <c r="J66" s="47"/>
      <c r="K66" s="48"/>
      <c r="L66" s="48"/>
      <c r="M66" s="70" t="s">
        <v>41</v>
      </c>
      <c r="N66" s="48"/>
      <c r="O66" s="71" t="str">
        <f>IF(N95&lt;0.95,"nicht gleichwertig","gleichwertig")</f>
        <v>gleichwertig</v>
      </c>
      <c r="P66" s="49"/>
      <c r="R66" s="51" t="e">
        <f t="shared" si="5"/>
        <v>#N/A</v>
      </c>
      <c r="S66" s="51" t="e">
        <f t="shared" si="6"/>
        <v>#N/A</v>
      </c>
      <c r="T66" s="93"/>
      <c r="U66" s="133"/>
      <c r="V66" s="93"/>
      <c r="W66" s="93"/>
      <c r="X66" s="93"/>
      <c r="Y66" s="93"/>
      <c r="AA66" s="51" t="e">
        <f t="shared" si="7"/>
        <v>#N/A</v>
      </c>
      <c r="AC66" s="17"/>
      <c r="AE66" s="139"/>
      <c r="AF66" s="18"/>
      <c r="AI66" s="21"/>
      <c r="AJ66" s="21"/>
      <c r="AK66" s="21"/>
    </row>
    <row r="67" spans="1:37" ht="13.6" x14ac:dyDescent="0.25">
      <c r="A67" s="41">
        <v>52</v>
      </c>
      <c r="B67" s="6"/>
      <c r="C67" s="4"/>
      <c r="D67" s="57" t="str">
        <f t="shared" si="13"/>
        <v/>
      </c>
      <c r="E67" s="58" t="str">
        <f t="shared" si="2"/>
        <v/>
      </c>
      <c r="F67" s="59" t="str">
        <f t="shared" si="0"/>
        <v/>
      </c>
      <c r="G67" s="60" t="str">
        <f t="shared" si="3"/>
        <v/>
      </c>
      <c r="H67" s="61" t="str">
        <f t="shared" si="4"/>
        <v/>
      </c>
      <c r="I67" s="9"/>
      <c r="J67" s="47"/>
      <c r="K67" s="72"/>
      <c r="L67" s="48"/>
      <c r="M67" s="48"/>
      <c r="N67" s="48"/>
      <c r="O67" s="48"/>
      <c r="P67" s="49"/>
      <c r="R67" s="51" t="e">
        <f t="shared" si="5"/>
        <v>#N/A</v>
      </c>
      <c r="S67" s="51" t="e">
        <f t="shared" si="6"/>
        <v>#N/A</v>
      </c>
      <c r="T67" s="93"/>
      <c r="U67" s="133"/>
      <c r="V67" s="93"/>
      <c r="W67" s="93"/>
      <c r="X67" s="93"/>
      <c r="Y67" s="93"/>
      <c r="AA67" s="51" t="e">
        <f t="shared" si="7"/>
        <v>#N/A</v>
      </c>
      <c r="AC67" s="17"/>
      <c r="AE67" s="139"/>
      <c r="AF67" s="18"/>
      <c r="AI67" s="21"/>
      <c r="AJ67" s="21"/>
      <c r="AK67" s="21"/>
    </row>
    <row r="68" spans="1:37" x14ac:dyDescent="0.2">
      <c r="A68" s="41">
        <v>53</v>
      </c>
      <c r="B68" s="6"/>
      <c r="C68" s="4"/>
      <c r="D68" s="57" t="str">
        <f t="shared" si="13"/>
        <v/>
      </c>
      <c r="E68" s="58" t="str">
        <f t="shared" si="2"/>
        <v/>
      </c>
      <c r="F68" s="59" t="str">
        <f t="shared" si="0"/>
        <v/>
      </c>
      <c r="G68" s="60" t="str">
        <f t="shared" si="3"/>
        <v/>
      </c>
      <c r="H68" s="61" t="str">
        <f t="shared" si="4"/>
        <v/>
      </c>
      <c r="I68" s="9"/>
      <c r="J68" s="47"/>
      <c r="K68" s="48"/>
      <c r="L68" s="48"/>
      <c r="M68" s="48"/>
      <c r="N68" s="48"/>
      <c r="O68" s="48"/>
      <c r="P68" s="49"/>
      <c r="R68" s="51" t="e">
        <f t="shared" si="5"/>
        <v>#N/A</v>
      </c>
      <c r="S68" s="51" t="e">
        <f t="shared" si="6"/>
        <v>#N/A</v>
      </c>
      <c r="T68" s="93"/>
      <c r="U68" s="133"/>
      <c r="V68" s="93"/>
      <c r="W68" s="93"/>
      <c r="X68" s="93"/>
      <c r="Y68" s="93"/>
      <c r="AA68" s="51" t="e">
        <f t="shared" si="7"/>
        <v>#N/A</v>
      </c>
      <c r="AC68" s="17"/>
      <c r="AE68" s="139"/>
      <c r="AF68" s="18"/>
      <c r="AI68" s="21"/>
      <c r="AJ68" s="21"/>
      <c r="AK68" s="21"/>
    </row>
    <row r="69" spans="1:37" x14ac:dyDescent="0.2">
      <c r="A69" s="41">
        <v>54</v>
      </c>
      <c r="B69" s="6"/>
      <c r="C69" s="4"/>
      <c r="D69" s="57" t="str">
        <f t="shared" si="13"/>
        <v/>
      </c>
      <c r="E69" s="58" t="str">
        <f t="shared" si="2"/>
        <v/>
      </c>
      <c r="F69" s="59" t="str">
        <f t="shared" si="0"/>
        <v/>
      </c>
      <c r="G69" s="60" t="str">
        <f t="shared" si="3"/>
        <v/>
      </c>
      <c r="H69" s="61" t="str">
        <f t="shared" si="4"/>
        <v/>
      </c>
      <c r="I69" s="9"/>
      <c r="J69" s="47"/>
      <c r="K69" s="48"/>
      <c r="L69" s="48"/>
      <c r="M69" s="48"/>
      <c r="N69" s="48"/>
      <c r="O69" s="48"/>
      <c r="P69" s="49"/>
      <c r="R69" s="51" t="e">
        <f t="shared" si="5"/>
        <v>#N/A</v>
      </c>
      <c r="S69" s="51" t="e">
        <f t="shared" si="6"/>
        <v>#N/A</v>
      </c>
      <c r="T69" s="93"/>
      <c r="U69" s="133"/>
      <c r="V69" s="93"/>
      <c r="W69" s="93"/>
      <c r="X69" s="93"/>
      <c r="Y69" s="93"/>
      <c r="AA69" s="51" t="e">
        <f t="shared" si="7"/>
        <v>#N/A</v>
      </c>
      <c r="AC69" s="17"/>
      <c r="AE69" s="139"/>
      <c r="AF69" s="18"/>
      <c r="AI69" s="21"/>
      <c r="AJ69" s="21"/>
      <c r="AK69" s="21"/>
    </row>
    <row r="70" spans="1:37" x14ac:dyDescent="0.2">
      <c r="A70" s="41">
        <v>55</v>
      </c>
      <c r="B70" s="6"/>
      <c r="C70" s="4"/>
      <c r="D70" s="57" t="str">
        <f t="shared" si="13"/>
        <v/>
      </c>
      <c r="E70" s="58" t="str">
        <f t="shared" si="2"/>
        <v/>
      </c>
      <c r="F70" s="59" t="str">
        <f t="shared" si="0"/>
        <v/>
      </c>
      <c r="G70" s="60" t="str">
        <f t="shared" si="3"/>
        <v/>
      </c>
      <c r="H70" s="61" t="str">
        <f t="shared" si="4"/>
        <v/>
      </c>
      <c r="I70" s="9"/>
      <c r="J70" s="47"/>
      <c r="K70" s="48"/>
      <c r="L70" s="48"/>
      <c r="M70" s="99"/>
      <c r="N70" s="99"/>
      <c r="O70" s="48"/>
      <c r="P70" s="49"/>
      <c r="Q70" s="87"/>
      <c r="R70" s="51" t="e">
        <f t="shared" si="5"/>
        <v>#N/A</v>
      </c>
      <c r="S70" s="51" t="e">
        <f t="shared" si="6"/>
        <v>#N/A</v>
      </c>
      <c r="T70" s="93"/>
      <c r="U70" s="133"/>
      <c r="V70" s="93"/>
      <c r="W70" s="93"/>
      <c r="X70" s="93"/>
      <c r="Y70" s="93"/>
      <c r="AA70" s="51" t="e">
        <f t="shared" si="7"/>
        <v>#N/A</v>
      </c>
      <c r="AC70" s="17"/>
      <c r="AE70" s="139"/>
      <c r="AF70" s="18"/>
      <c r="AI70" s="21"/>
      <c r="AJ70" s="21"/>
      <c r="AK70" s="21"/>
    </row>
    <row r="71" spans="1:37" x14ac:dyDescent="0.2">
      <c r="A71" s="41">
        <v>56</v>
      </c>
      <c r="B71" s="6"/>
      <c r="C71" s="4"/>
      <c r="D71" s="57" t="str">
        <f t="shared" si="13"/>
        <v/>
      </c>
      <c r="E71" s="58" t="str">
        <f t="shared" si="2"/>
        <v/>
      </c>
      <c r="F71" s="59" t="str">
        <f t="shared" si="0"/>
        <v/>
      </c>
      <c r="G71" s="60" t="str">
        <f t="shared" si="3"/>
        <v/>
      </c>
      <c r="H71" s="61" t="str">
        <f t="shared" si="4"/>
        <v/>
      </c>
      <c r="I71" s="9"/>
      <c r="J71" s="100"/>
      <c r="K71" s="99"/>
      <c r="L71" s="99"/>
      <c r="M71" s="99"/>
      <c r="N71" s="99"/>
      <c r="O71" s="48"/>
      <c r="P71" s="49"/>
      <c r="R71" s="51" t="e">
        <f t="shared" si="5"/>
        <v>#N/A</v>
      </c>
      <c r="S71" s="51" t="e">
        <f t="shared" si="6"/>
        <v>#N/A</v>
      </c>
      <c r="T71" s="93"/>
      <c r="U71" s="133"/>
      <c r="V71" s="93"/>
      <c r="W71" s="93"/>
      <c r="X71" s="93"/>
      <c r="Y71" s="93"/>
      <c r="AA71" s="51" t="e">
        <f t="shared" si="7"/>
        <v>#N/A</v>
      </c>
      <c r="AC71" s="17"/>
      <c r="AE71" s="139"/>
      <c r="AF71" s="18"/>
      <c r="AI71" s="21"/>
      <c r="AJ71" s="21"/>
      <c r="AK71" s="21"/>
    </row>
    <row r="72" spans="1:37" x14ac:dyDescent="0.2">
      <c r="A72" s="41">
        <v>57</v>
      </c>
      <c r="B72" s="6"/>
      <c r="C72" s="4"/>
      <c r="D72" s="57" t="str">
        <f t="shared" si="13"/>
        <v/>
      </c>
      <c r="E72" s="58" t="str">
        <f t="shared" si="2"/>
        <v/>
      </c>
      <c r="F72" s="59" t="str">
        <f t="shared" si="0"/>
        <v/>
      </c>
      <c r="G72" s="60" t="str">
        <f t="shared" si="3"/>
        <v/>
      </c>
      <c r="H72" s="61" t="str">
        <f t="shared" si="4"/>
        <v/>
      </c>
      <c r="I72" s="9"/>
      <c r="J72" s="47"/>
      <c r="K72" s="48"/>
      <c r="L72" s="48"/>
      <c r="M72" s="99"/>
      <c r="N72" s="99"/>
      <c r="O72" s="48"/>
      <c r="P72" s="49"/>
      <c r="R72" s="51" t="e">
        <f t="shared" si="5"/>
        <v>#N/A</v>
      </c>
      <c r="S72" s="51" t="e">
        <f t="shared" si="6"/>
        <v>#N/A</v>
      </c>
      <c r="T72" s="93"/>
      <c r="U72" s="133"/>
      <c r="V72" s="93"/>
      <c r="W72" s="93"/>
      <c r="X72" s="93"/>
      <c r="Y72" s="93"/>
      <c r="AA72" s="51" t="e">
        <f t="shared" si="7"/>
        <v>#N/A</v>
      </c>
      <c r="AC72" s="17"/>
      <c r="AE72" s="139"/>
      <c r="AF72" s="18"/>
      <c r="AI72" s="21"/>
      <c r="AJ72" s="21"/>
      <c r="AK72" s="21"/>
    </row>
    <row r="73" spans="1:37" x14ac:dyDescent="0.2">
      <c r="A73" s="41">
        <v>58</v>
      </c>
      <c r="B73" s="6"/>
      <c r="C73" s="4"/>
      <c r="D73" s="57" t="str">
        <f t="shared" si="13"/>
        <v/>
      </c>
      <c r="E73" s="58" t="str">
        <f t="shared" si="2"/>
        <v/>
      </c>
      <c r="F73" s="59" t="str">
        <f t="shared" si="0"/>
        <v/>
      </c>
      <c r="G73" s="60" t="str">
        <f t="shared" si="3"/>
        <v/>
      </c>
      <c r="H73" s="61" t="str">
        <f t="shared" si="4"/>
        <v/>
      </c>
      <c r="I73" s="9"/>
      <c r="J73" s="79"/>
      <c r="K73" s="48"/>
      <c r="L73" s="48"/>
      <c r="M73" s="99"/>
      <c r="N73" s="99"/>
      <c r="O73" s="48"/>
      <c r="P73" s="49"/>
      <c r="R73" s="51" t="e">
        <f t="shared" si="5"/>
        <v>#N/A</v>
      </c>
      <c r="S73" s="51" t="e">
        <f t="shared" si="6"/>
        <v>#N/A</v>
      </c>
      <c r="T73" s="93"/>
      <c r="U73" s="133"/>
      <c r="V73" s="93"/>
      <c r="W73" s="93"/>
      <c r="X73" s="93"/>
      <c r="Y73" s="93"/>
      <c r="AA73" s="51" t="e">
        <f t="shared" si="7"/>
        <v>#N/A</v>
      </c>
      <c r="AC73" s="17"/>
      <c r="AE73" s="139"/>
      <c r="AF73" s="18"/>
      <c r="AI73" s="21"/>
      <c r="AJ73" s="21"/>
      <c r="AK73" s="21"/>
    </row>
    <row r="74" spans="1:37" x14ac:dyDescent="0.2">
      <c r="A74" s="41">
        <v>59</v>
      </c>
      <c r="B74" s="6"/>
      <c r="C74" s="4"/>
      <c r="D74" s="57" t="str">
        <f t="shared" si="13"/>
        <v/>
      </c>
      <c r="E74" s="58" t="str">
        <f t="shared" si="2"/>
        <v/>
      </c>
      <c r="F74" s="59" t="str">
        <f t="shared" si="0"/>
        <v/>
      </c>
      <c r="G74" s="60" t="str">
        <f t="shared" si="3"/>
        <v/>
      </c>
      <c r="H74" s="61" t="str">
        <f t="shared" si="4"/>
        <v/>
      </c>
      <c r="I74" s="9"/>
      <c r="J74" s="47"/>
      <c r="K74" s="48"/>
      <c r="L74" s="48"/>
      <c r="M74" s="48"/>
      <c r="N74" s="48"/>
      <c r="O74" s="48"/>
      <c r="P74" s="49"/>
      <c r="R74" s="51" t="e">
        <f t="shared" si="5"/>
        <v>#N/A</v>
      </c>
      <c r="S74" s="51" t="e">
        <f t="shared" si="6"/>
        <v>#N/A</v>
      </c>
      <c r="T74" s="93"/>
      <c r="U74" s="133"/>
      <c r="V74" s="93"/>
      <c r="W74" s="93"/>
      <c r="X74" s="93"/>
      <c r="Y74" s="93"/>
      <c r="AA74" s="51" t="e">
        <f t="shared" si="7"/>
        <v>#N/A</v>
      </c>
      <c r="AC74" s="17"/>
      <c r="AE74" s="139"/>
      <c r="AF74" s="18"/>
      <c r="AI74" s="21"/>
      <c r="AJ74" s="21"/>
      <c r="AK74" s="21"/>
    </row>
    <row r="75" spans="1:37" x14ac:dyDescent="0.2">
      <c r="A75" s="41">
        <v>60</v>
      </c>
      <c r="B75" s="6"/>
      <c r="C75" s="4"/>
      <c r="D75" s="57" t="str">
        <f t="shared" si="13"/>
        <v/>
      </c>
      <c r="E75" s="58" t="str">
        <f t="shared" si="2"/>
        <v/>
      </c>
      <c r="F75" s="59" t="str">
        <f t="shared" si="0"/>
        <v/>
      </c>
      <c r="G75" s="60" t="str">
        <f t="shared" si="3"/>
        <v/>
      </c>
      <c r="H75" s="61" t="str">
        <f t="shared" si="4"/>
        <v/>
      </c>
      <c r="I75" s="9"/>
      <c r="J75" s="47"/>
      <c r="K75" s="48"/>
      <c r="L75" s="48"/>
      <c r="M75" s="48"/>
      <c r="N75" s="48"/>
      <c r="O75" s="48"/>
      <c r="P75" s="49"/>
      <c r="R75" s="51" t="e">
        <f t="shared" si="5"/>
        <v>#N/A</v>
      </c>
      <c r="S75" s="51" t="e">
        <f t="shared" si="6"/>
        <v>#N/A</v>
      </c>
      <c r="T75" s="93"/>
      <c r="U75" s="133"/>
      <c r="V75" s="93"/>
      <c r="W75" s="93"/>
      <c r="X75" s="93"/>
      <c r="Y75" s="93"/>
      <c r="AA75" s="51" t="e">
        <f t="shared" si="7"/>
        <v>#N/A</v>
      </c>
      <c r="AC75" s="17"/>
      <c r="AE75" s="139"/>
      <c r="AF75" s="18"/>
      <c r="AI75" s="21"/>
      <c r="AJ75" s="21"/>
      <c r="AK75" s="21"/>
    </row>
    <row r="76" spans="1:37" x14ac:dyDescent="0.2">
      <c r="A76" s="41">
        <v>61</v>
      </c>
      <c r="B76" s="6"/>
      <c r="C76" s="4"/>
      <c r="D76" s="57" t="str">
        <f t="shared" si="13"/>
        <v/>
      </c>
      <c r="E76" s="58" t="str">
        <f t="shared" si="2"/>
        <v/>
      </c>
      <c r="F76" s="59" t="str">
        <f t="shared" si="0"/>
        <v/>
      </c>
      <c r="G76" s="60" t="str">
        <f t="shared" si="3"/>
        <v/>
      </c>
      <c r="H76" s="61" t="str">
        <f t="shared" si="4"/>
        <v/>
      </c>
      <c r="I76" s="9"/>
      <c r="J76" s="47"/>
      <c r="K76" s="48"/>
      <c r="L76" s="48"/>
      <c r="M76" s="48"/>
      <c r="N76" s="48"/>
      <c r="O76" s="48"/>
      <c r="P76" s="49"/>
      <c r="R76" s="51" t="e">
        <f t="shared" si="5"/>
        <v>#N/A</v>
      </c>
      <c r="S76" s="51" t="e">
        <f t="shared" si="6"/>
        <v>#N/A</v>
      </c>
      <c r="T76" s="93"/>
      <c r="U76" s="133"/>
      <c r="V76" s="93"/>
      <c r="W76" s="93"/>
      <c r="X76" s="93"/>
      <c r="Y76" s="93"/>
      <c r="AA76" s="51" t="e">
        <f t="shared" si="7"/>
        <v>#N/A</v>
      </c>
      <c r="AC76" s="17"/>
      <c r="AE76" s="139"/>
      <c r="AF76" s="18"/>
      <c r="AI76" s="21"/>
      <c r="AJ76" s="21"/>
      <c r="AK76" s="21"/>
    </row>
    <row r="77" spans="1:37" x14ac:dyDescent="0.2">
      <c r="A77" s="41">
        <v>62</v>
      </c>
      <c r="B77" s="6"/>
      <c r="C77" s="4"/>
      <c r="D77" s="57" t="str">
        <f t="shared" si="13"/>
        <v/>
      </c>
      <c r="E77" s="58" t="str">
        <f t="shared" si="2"/>
        <v/>
      </c>
      <c r="F77" s="59" t="str">
        <f t="shared" si="0"/>
        <v/>
      </c>
      <c r="G77" s="60" t="str">
        <f t="shared" si="3"/>
        <v/>
      </c>
      <c r="H77" s="61" t="str">
        <f t="shared" si="4"/>
        <v/>
      </c>
      <c r="I77" s="9"/>
      <c r="J77" s="47"/>
      <c r="K77" s="48"/>
      <c r="L77" s="48"/>
      <c r="M77" s="48"/>
      <c r="N77" s="48"/>
      <c r="O77" s="48"/>
      <c r="P77" s="49"/>
      <c r="R77" s="51" t="e">
        <f t="shared" si="5"/>
        <v>#N/A</v>
      </c>
      <c r="S77" s="51" t="e">
        <f t="shared" si="6"/>
        <v>#N/A</v>
      </c>
      <c r="T77" s="93"/>
      <c r="U77" s="133"/>
      <c r="V77" s="93"/>
      <c r="W77" s="93"/>
      <c r="X77" s="93"/>
      <c r="Y77" s="93"/>
      <c r="AA77" s="51" t="e">
        <f t="shared" si="7"/>
        <v>#N/A</v>
      </c>
      <c r="AC77" s="17"/>
      <c r="AE77" s="139"/>
      <c r="AF77" s="18"/>
      <c r="AI77" s="21"/>
      <c r="AJ77" s="21"/>
      <c r="AK77" s="21"/>
    </row>
    <row r="78" spans="1:37" x14ac:dyDescent="0.2">
      <c r="A78" s="41">
        <v>63</v>
      </c>
      <c r="B78" s="6"/>
      <c r="C78" s="4"/>
      <c r="D78" s="57" t="str">
        <f t="shared" si="13"/>
        <v/>
      </c>
      <c r="E78" s="58" t="str">
        <f t="shared" si="2"/>
        <v/>
      </c>
      <c r="F78" s="59" t="str">
        <f t="shared" si="0"/>
        <v/>
      </c>
      <c r="G78" s="60" t="str">
        <f t="shared" si="3"/>
        <v/>
      </c>
      <c r="H78" s="61" t="str">
        <f t="shared" si="4"/>
        <v/>
      </c>
      <c r="I78" s="9"/>
      <c r="J78" s="47"/>
      <c r="K78" s="48"/>
      <c r="L78" s="48"/>
      <c r="M78" s="101"/>
      <c r="N78" s="48"/>
      <c r="O78" s="48"/>
      <c r="P78" s="49"/>
      <c r="R78" s="51" t="e">
        <f t="shared" si="5"/>
        <v>#N/A</v>
      </c>
      <c r="S78" s="51" t="e">
        <f t="shared" si="6"/>
        <v>#N/A</v>
      </c>
      <c r="T78" s="93"/>
      <c r="U78" s="133"/>
      <c r="V78" s="93"/>
      <c r="W78" s="93"/>
      <c r="X78" s="93"/>
      <c r="Y78" s="93"/>
      <c r="AA78" s="51" t="e">
        <f t="shared" si="7"/>
        <v>#N/A</v>
      </c>
      <c r="AC78" s="17"/>
      <c r="AE78" s="139"/>
      <c r="AF78" s="18"/>
      <c r="AI78" s="21"/>
      <c r="AJ78" s="21"/>
      <c r="AK78" s="21"/>
    </row>
    <row r="79" spans="1:37" x14ac:dyDescent="0.2">
      <c r="A79" s="41">
        <v>64</v>
      </c>
      <c r="B79" s="6"/>
      <c r="C79" s="4"/>
      <c r="D79" s="57" t="str">
        <f t="shared" si="13"/>
        <v/>
      </c>
      <c r="E79" s="58" t="str">
        <f t="shared" si="2"/>
        <v/>
      </c>
      <c r="F79" s="59" t="str">
        <f t="shared" si="0"/>
        <v/>
      </c>
      <c r="G79" s="60" t="str">
        <f t="shared" si="3"/>
        <v/>
      </c>
      <c r="H79" s="61" t="str">
        <f t="shared" si="4"/>
        <v/>
      </c>
      <c r="I79" s="9"/>
      <c r="J79" s="47"/>
      <c r="K79" s="48"/>
      <c r="L79" s="48"/>
      <c r="M79" s="48"/>
      <c r="N79" s="48"/>
      <c r="O79" s="48"/>
      <c r="P79" s="49"/>
      <c r="R79" s="51" t="e">
        <f t="shared" si="5"/>
        <v>#N/A</v>
      </c>
      <c r="S79" s="51" t="e">
        <f t="shared" si="6"/>
        <v>#N/A</v>
      </c>
      <c r="T79" s="93"/>
      <c r="U79" s="133"/>
      <c r="V79" s="93"/>
      <c r="W79" s="93"/>
      <c r="X79" s="93"/>
      <c r="Y79" s="93"/>
      <c r="AA79" s="51" t="e">
        <f t="shared" si="7"/>
        <v>#N/A</v>
      </c>
      <c r="AC79" s="17"/>
      <c r="AE79" s="139"/>
      <c r="AF79" s="18"/>
      <c r="AI79" s="21"/>
      <c r="AJ79" s="21"/>
      <c r="AK79" s="21"/>
    </row>
    <row r="80" spans="1:37" x14ac:dyDescent="0.2">
      <c r="A80" s="41">
        <v>65</v>
      </c>
      <c r="B80" s="6"/>
      <c r="C80" s="4"/>
      <c r="D80" s="57" t="str">
        <f t="shared" si="13"/>
        <v/>
      </c>
      <c r="E80" s="58" t="str">
        <f t="shared" si="2"/>
        <v/>
      </c>
      <c r="F80" s="59" t="str">
        <f t="shared" ref="F80:F114" si="14">IF(B80="","",IF(E80&gt;$F$117,"Ao",IF(E80&lt;$F$118,"Au","")))</f>
        <v/>
      </c>
      <c r="G80" s="60" t="str">
        <f t="shared" si="3"/>
        <v/>
      </c>
      <c r="H80" s="61" t="str">
        <f t="shared" si="4"/>
        <v/>
      </c>
      <c r="I80" s="9"/>
      <c r="J80" s="47"/>
      <c r="K80" s="48"/>
      <c r="L80" s="48"/>
      <c r="M80" s="48"/>
      <c r="N80" s="48"/>
      <c r="O80" s="48"/>
      <c r="P80" s="49"/>
      <c r="R80" s="51" t="e">
        <f t="shared" si="5"/>
        <v>#N/A</v>
      </c>
      <c r="S80" s="51" t="e">
        <f t="shared" si="6"/>
        <v>#N/A</v>
      </c>
      <c r="T80" s="93"/>
      <c r="U80" s="133"/>
      <c r="V80" s="93"/>
      <c r="W80" s="93"/>
      <c r="X80" s="93"/>
      <c r="Y80" s="93"/>
      <c r="AA80" s="51" t="e">
        <f t="shared" si="7"/>
        <v>#N/A</v>
      </c>
      <c r="AC80" s="17"/>
      <c r="AE80" s="139"/>
      <c r="AF80" s="18"/>
      <c r="AI80" s="21"/>
      <c r="AJ80" s="21"/>
      <c r="AK80" s="21"/>
    </row>
    <row r="81" spans="1:37" x14ac:dyDescent="0.2">
      <c r="A81" s="41">
        <v>66</v>
      </c>
      <c r="B81" s="6"/>
      <c r="C81" s="4"/>
      <c r="D81" s="57" t="str">
        <f t="shared" ref="D81:D115" si="15">IF(B81="","",(B81+C81)/2)</f>
        <v/>
      </c>
      <c r="E81" s="58" t="str">
        <f t="shared" ref="E81:E115" si="16">IF(D81&lt;&gt;"",C81/B81,"")</f>
        <v/>
      </c>
      <c r="F81" s="59" t="str">
        <f t="shared" si="14"/>
        <v/>
      </c>
      <c r="G81" s="60" t="str">
        <f t="shared" ref="G81:G115" si="17">IF(D81&lt;&gt;"",C81-B81,"")</f>
        <v/>
      </c>
      <c r="H81" s="61" t="str">
        <f t="shared" ref="H81:H115" si="18">IF(B81="","",IF(G81&gt;$N$92,"Ao",IF(G81&lt;$N$93,"Au","")))</f>
        <v/>
      </c>
      <c r="I81" s="9"/>
      <c r="J81" s="47"/>
      <c r="K81" s="48"/>
      <c r="L81" s="48"/>
      <c r="M81" s="48"/>
      <c r="N81" s="48"/>
      <c r="O81" s="48"/>
      <c r="P81" s="49"/>
      <c r="R81" s="51" t="e">
        <f t="shared" ref="R81:R115" si="19">IF(D81&lt;&gt;"",D81,#N/A)</f>
        <v>#N/A</v>
      </c>
      <c r="S81" s="51" t="e">
        <f t="shared" ref="S81:S115" si="20">IF(E81&lt;&gt;"",E81,#N/A)</f>
        <v>#N/A</v>
      </c>
      <c r="T81" s="93"/>
      <c r="U81" s="133"/>
      <c r="V81" s="93"/>
      <c r="W81" s="93"/>
      <c r="X81" s="93"/>
      <c r="Y81" s="93"/>
      <c r="AA81" s="51" t="e">
        <f t="shared" ref="AA81:AA115" si="21">IF(G81&lt;&gt;"",G81,#N/A)</f>
        <v>#N/A</v>
      </c>
      <c r="AC81" s="17"/>
      <c r="AE81" s="139"/>
      <c r="AF81" s="18"/>
      <c r="AI81" s="21"/>
      <c r="AJ81" s="21"/>
      <c r="AK81" s="21"/>
    </row>
    <row r="82" spans="1:37" x14ac:dyDescent="0.2">
      <c r="A82" s="41">
        <v>67</v>
      </c>
      <c r="B82" s="6"/>
      <c r="C82" s="4"/>
      <c r="D82" s="57" t="str">
        <f t="shared" si="15"/>
        <v/>
      </c>
      <c r="E82" s="58" t="str">
        <f t="shared" si="16"/>
        <v/>
      </c>
      <c r="F82" s="59" t="str">
        <f t="shared" si="14"/>
        <v/>
      </c>
      <c r="G82" s="60" t="str">
        <f t="shared" si="17"/>
        <v/>
      </c>
      <c r="H82" s="61" t="str">
        <f t="shared" si="18"/>
        <v/>
      </c>
      <c r="I82" s="9"/>
      <c r="J82" s="47"/>
      <c r="K82" s="48"/>
      <c r="L82" s="48"/>
      <c r="M82" s="48"/>
      <c r="N82" s="48"/>
      <c r="O82" s="48"/>
      <c r="P82" s="49"/>
      <c r="R82" s="51" t="e">
        <f t="shared" si="19"/>
        <v>#N/A</v>
      </c>
      <c r="S82" s="51" t="e">
        <f t="shared" si="20"/>
        <v>#N/A</v>
      </c>
      <c r="T82" s="93"/>
      <c r="U82" s="133"/>
      <c r="V82" s="93"/>
      <c r="W82" s="93"/>
      <c r="X82" s="93"/>
      <c r="Y82" s="93"/>
      <c r="AA82" s="51" t="e">
        <f t="shared" si="21"/>
        <v>#N/A</v>
      </c>
      <c r="AC82" s="17"/>
      <c r="AE82" s="139"/>
      <c r="AF82" s="18"/>
      <c r="AI82" s="21"/>
      <c r="AJ82" s="21"/>
      <c r="AK82" s="21"/>
    </row>
    <row r="83" spans="1:37" x14ac:dyDescent="0.2">
      <c r="A83" s="41">
        <v>68</v>
      </c>
      <c r="B83" s="6"/>
      <c r="C83" s="4"/>
      <c r="D83" s="57" t="str">
        <f t="shared" si="15"/>
        <v/>
      </c>
      <c r="E83" s="58" t="str">
        <f t="shared" si="16"/>
        <v/>
      </c>
      <c r="F83" s="59" t="str">
        <f t="shared" si="14"/>
        <v/>
      </c>
      <c r="G83" s="60" t="str">
        <f t="shared" si="17"/>
        <v/>
      </c>
      <c r="H83" s="61" t="str">
        <f t="shared" si="18"/>
        <v/>
      </c>
      <c r="I83" s="9"/>
      <c r="J83" s="47"/>
      <c r="K83" s="48"/>
      <c r="L83" s="48"/>
      <c r="M83" s="48"/>
      <c r="N83" s="48"/>
      <c r="O83" s="48"/>
      <c r="P83" s="49"/>
      <c r="R83" s="51" t="e">
        <f t="shared" si="19"/>
        <v>#N/A</v>
      </c>
      <c r="S83" s="51" t="e">
        <f t="shared" si="20"/>
        <v>#N/A</v>
      </c>
      <c r="T83" s="93"/>
      <c r="U83" s="133"/>
      <c r="V83" s="93"/>
      <c r="W83" s="93"/>
      <c r="X83" s="93"/>
      <c r="Y83" s="93"/>
      <c r="AA83" s="51" t="e">
        <f t="shared" si="21"/>
        <v>#N/A</v>
      </c>
      <c r="AC83" s="17"/>
      <c r="AE83" s="139"/>
      <c r="AF83" s="18"/>
      <c r="AI83" s="21"/>
      <c r="AJ83" s="21"/>
      <c r="AK83" s="21"/>
    </row>
    <row r="84" spans="1:37" x14ac:dyDescent="0.2">
      <c r="A84" s="41">
        <v>69</v>
      </c>
      <c r="B84" s="6"/>
      <c r="C84" s="4"/>
      <c r="D84" s="57" t="str">
        <f t="shared" si="15"/>
        <v/>
      </c>
      <c r="E84" s="58" t="str">
        <f t="shared" si="16"/>
        <v/>
      </c>
      <c r="F84" s="59" t="str">
        <f t="shared" si="14"/>
        <v/>
      </c>
      <c r="G84" s="60" t="str">
        <f t="shared" si="17"/>
        <v/>
      </c>
      <c r="H84" s="61" t="str">
        <f t="shared" si="18"/>
        <v/>
      </c>
      <c r="I84" s="9"/>
      <c r="J84" s="47"/>
      <c r="K84" s="48"/>
      <c r="L84" s="48"/>
      <c r="M84" s="48"/>
      <c r="N84" s="48"/>
      <c r="O84" s="48"/>
      <c r="P84" s="49"/>
      <c r="R84" s="51" t="e">
        <f t="shared" si="19"/>
        <v>#N/A</v>
      </c>
      <c r="S84" s="51" t="e">
        <f t="shared" si="20"/>
        <v>#N/A</v>
      </c>
      <c r="T84" s="93"/>
      <c r="U84" s="133"/>
      <c r="V84" s="93"/>
      <c r="W84" s="93"/>
      <c r="X84" s="93"/>
      <c r="Y84" s="93"/>
      <c r="AA84" s="51" t="e">
        <f t="shared" si="21"/>
        <v>#N/A</v>
      </c>
      <c r="AC84" s="17"/>
      <c r="AE84" s="139"/>
      <c r="AF84" s="18"/>
      <c r="AI84" s="21"/>
      <c r="AJ84" s="21"/>
      <c r="AK84" s="21"/>
    </row>
    <row r="85" spans="1:37" x14ac:dyDescent="0.2">
      <c r="A85" s="41">
        <v>70</v>
      </c>
      <c r="B85" s="6"/>
      <c r="C85" s="4"/>
      <c r="D85" s="57" t="str">
        <f t="shared" si="15"/>
        <v/>
      </c>
      <c r="E85" s="58" t="str">
        <f t="shared" si="16"/>
        <v/>
      </c>
      <c r="F85" s="59" t="str">
        <f t="shared" si="14"/>
        <v/>
      </c>
      <c r="G85" s="60" t="str">
        <f t="shared" si="17"/>
        <v/>
      </c>
      <c r="H85" s="61" t="str">
        <f t="shared" si="18"/>
        <v/>
      </c>
      <c r="I85" s="9"/>
      <c r="J85" s="47"/>
      <c r="K85" s="48"/>
      <c r="L85" s="48"/>
      <c r="M85" s="48"/>
      <c r="N85" s="48"/>
      <c r="O85" s="48"/>
      <c r="P85" s="49"/>
      <c r="R85" s="51" t="e">
        <f t="shared" si="19"/>
        <v>#N/A</v>
      </c>
      <c r="S85" s="51" t="e">
        <f t="shared" si="20"/>
        <v>#N/A</v>
      </c>
      <c r="T85" s="93"/>
      <c r="U85" s="133"/>
      <c r="V85" s="93"/>
      <c r="W85" s="93"/>
      <c r="X85" s="93"/>
      <c r="Y85" s="93"/>
      <c r="AA85" s="51" t="e">
        <f t="shared" si="21"/>
        <v>#N/A</v>
      </c>
      <c r="AC85" s="17"/>
      <c r="AE85" s="139"/>
      <c r="AF85" s="18"/>
      <c r="AI85" s="21"/>
      <c r="AJ85" s="21"/>
      <c r="AK85" s="21"/>
    </row>
    <row r="86" spans="1:37" x14ac:dyDescent="0.2">
      <c r="A86" s="41">
        <v>71</v>
      </c>
      <c r="B86" s="6"/>
      <c r="C86" s="4"/>
      <c r="D86" s="57" t="str">
        <f t="shared" si="15"/>
        <v/>
      </c>
      <c r="E86" s="58" t="str">
        <f t="shared" si="16"/>
        <v/>
      </c>
      <c r="F86" s="59" t="str">
        <f t="shared" si="14"/>
        <v/>
      </c>
      <c r="G86" s="60" t="str">
        <f t="shared" si="17"/>
        <v/>
      </c>
      <c r="H86" s="61" t="str">
        <f t="shared" si="18"/>
        <v/>
      </c>
      <c r="I86" s="9"/>
      <c r="J86" s="47"/>
      <c r="K86" s="48"/>
      <c r="L86" s="48"/>
      <c r="M86" s="48"/>
      <c r="N86" s="48"/>
      <c r="O86" s="48"/>
      <c r="P86" s="49"/>
      <c r="R86" s="51" t="e">
        <f t="shared" si="19"/>
        <v>#N/A</v>
      </c>
      <c r="S86" s="51" t="e">
        <f t="shared" si="20"/>
        <v>#N/A</v>
      </c>
      <c r="T86" s="93"/>
      <c r="U86" s="133"/>
      <c r="V86" s="93"/>
      <c r="W86" s="93"/>
      <c r="X86" s="93"/>
      <c r="Y86" s="93"/>
      <c r="AA86" s="51" t="e">
        <f t="shared" si="21"/>
        <v>#N/A</v>
      </c>
      <c r="AC86" s="17"/>
      <c r="AE86" s="139"/>
      <c r="AF86" s="18"/>
      <c r="AI86" s="21"/>
      <c r="AJ86" s="21"/>
      <c r="AK86" s="21"/>
    </row>
    <row r="87" spans="1:37" x14ac:dyDescent="0.2">
      <c r="A87" s="41">
        <v>72</v>
      </c>
      <c r="B87" s="6"/>
      <c r="C87" s="4"/>
      <c r="D87" s="57" t="str">
        <f t="shared" si="15"/>
        <v/>
      </c>
      <c r="E87" s="58" t="str">
        <f t="shared" si="16"/>
        <v/>
      </c>
      <c r="F87" s="59" t="str">
        <f t="shared" si="14"/>
        <v/>
      </c>
      <c r="G87" s="60" t="str">
        <f t="shared" si="17"/>
        <v/>
      </c>
      <c r="H87" s="61" t="str">
        <f t="shared" si="18"/>
        <v/>
      </c>
      <c r="I87" s="9"/>
      <c r="J87" s="47"/>
      <c r="K87" s="48"/>
      <c r="L87" s="48"/>
      <c r="M87" s="48"/>
      <c r="N87" s="48"/>
      <c r="O87" s="48"/>
      <c r="P87" s="49"/>
      <c r="R87" s="51" t="e">
        <f t="shared" si="19"/>
        <v>#N/A</v>
      </c>
      <c r="S87" s="51" t="e">
        <f t="shared" si="20"/>
        <v>#N/A</v>
      </c>
      <c r="T87" s="93"/>
      <c r="U87" s="133"/>
      <c r="V87" s="93"/>
      <c r="W87" s="93"/>
      <c r="X87" s="93"/>
      <c r="Y87" s="93"/>
      <c r="AA87" s="51" t="e">
        <f t="shared" si="21"/>
        <v>#N/A</v>
      </c>
      <c r="AC87" s="17"/>
      <c r="AE87" s="139"/>
      <c r="AF87" s="18"/>
      <c r="AI87" s="21"/>
      <c r="AJ87" s="21"/>
      <c r="AK87" s="21"/>
    </row>
    <row r="88" spans="1:37" x14ac:dyDescent="0.2">
      <c r="A88" s="41">
        <v>73</v>
      </c>
      <c r="B88" s="6"/>
      <c r="C88" s="4"/>
      <c r="D88" s="57" t="str">
        <f t="shared" si="15"/>
        <v/>
      </c>
      <c r="E88" s="58" t="str">
        <f t="shared" si="16"/>
        <v/>
      </c>
      <c r="F88" s="59" t="str">
        <f t="shared" si="14"/>
        <v/>
      </c>
      <c r="G88" s="60" t="str">
        <f t="shared" si="17"/>
        <v/>
      </c>
      <c r="H88" s="61" t="str">
        <f t="shared" si="18"/>
        <v/>
      </c>
      <c r="I88" s="9"/>
      <c r="J88" s="47"/>
      <c r="K88" s="48"/>
      <c r="L88" s="48"/>
      <c r="M88" s="48"/>
      <c r="N88" s="48"/>
      <c r="O88" s="48"/>
      <c r="P88" s="49"/>
      <c r="Q88" s="93"/>
      <c r="R88" s="51" t="e">
        <f t="shared" si="19"/>
        <v>#N/A</v>
      </c>
      <c r="S88" s="51" t="e">
        <f t="shared" si="20"/>
        <v>#N/A</v>
      </c>
      <c r="T88" s="93"/>
      <c r="U88" s="133"/>
      <c r="V88" s="93"/>
      <c r="W88" s="93"/>
      <c r="X88" s="93"/>
      <c r="Y88" s="93"/>
      <c r="Z88" s="93"/>
      <c r="AA88" s="51" t="e">
        <f t="shared" si="21"/>
        <v>#N/A</v>
      </c>
      <c r="AC88" s="17"/>
      <c r="AE88" s="139"/>
      <c r="AF88" s="18"/>
      <c r="AI88" s="21"/>
      <c r="AJ88" s="21"/>
      <c r="AK88" s="21"/>
    </row>
    <row r="89" spans="1:37" ht="17" x14ac:dyDescent="0.35">
      <c r="A89" s="41">
        <v>74</v>
      </c>
      <c r="B89" s="6"/>
      <c r="C89" s="4"/>
      <c r="D89" s="57" t="str">
        <f t="shared" si="15"/>
        <v/>
      </c>
      <c r="E89" s="58" t="str">
        <f t="shared" si="16"/>
        <v/>
      </c>
      <c r="F89" s="59" t="str">
        <f t="shared" si="14"/>
        <v/>
      </c>
      <c r="G89" s="60" t="str">
        <f t="shared" si="17"/>
        <v/>
      </c>
      <c r="H89" s="61" t="str">
        <f t="shared" si="18"/>
        <v/>
      </c>
      <c r="I89" s="9"/>
      <c r="J89" s="75" t="s">
        <v>68</v>
      </c>
      <c r="K89" s="76">
        <f>AVERAGE(G16:G115)</f>
        <v>1.7538888888888893</v>
      </c>
      <c r="L89" s="76" t="str">
        <f>E6</f>
        <v>µg/l</v>
      </c>
      <c r="M89" s="64" t="s">
        <v>70</v>
      </c>
      <c r="N89" s="76">
        <f>K89+2*K90</f>
        <v>6.07990395465165</v>
      </c>
      <c r="O89" s="76" t="str">
        <f>E6</f>
        <v>µg/l</v>
      </c>
      <c r="P89" s="49"/>
      <c r="Q89" s="102"/>
      <c r="R89" s="51" t="e">
        <f t="shared" si="19"/>
        <v>#N/A</v>
      </c>
      <c r="S89" s="51" t="e">
        <f t="shared" si="20"/>
        <v>#N/A</v>
      </c>
      <c r="T89" s="93"/>
      <c r="U89" s="133"/>
      <c r="V89" s="93"/>
      <c r="W89" s="93"/>
      <c r="X89" s="93"/>
      <c r="Y89" s="93"/>
      <c r="Z89" s="103"/>
      <c r="AA89" s="51" t="e">
        <f t="shared" si="21"/>
        <v>#N/A</v>
      </c>
      <c r="AC89" s="17"/>
      <c r="AE89" s="139"/>
      <c r="AF89" s="18"/>
      <c r="AI89" s="21"/>
      <c r="AJ89" s="21"/>
      <c r="AK89" s="21"/>
    </row>
    <row r="90" spans="1:37" ht="17" x14ac:dyDescent="0.35">
      <c r="A90" s="41">
        <v>75</v>
      </c>
      <c r="B90" s="6"/>
      <c r="C90" s="4"/>
      <c r="D90" s="57" t="str">
        <f t="shared" si="15"/>
        <v/>
      </c>
      <c r="E90" s="58" t="str">
        <f t="shared" si="16"/>
        <v/>
      </c>
      <c r="F90" s="59" t="str">
        <f t="shared" si="14"/>
        <v/>
      </c>
      <c r="G90" s="60" t="str">
        <f t="shared" si="17"/>
        <v/>
      </c>
      <c r="H90" s="61" t="str">
        <f t="shared" si="18"/>
        <v/>
      </c>
      <c r="I90" s="9"/>
      <c r="J90" s="78" t="s">
        <v>69</v>
      </c>
      <c r="K90" s="76">
        <f>_xlfn.STDEV.S(G16:G115)</f>
        <v>2.1630075328813803</v>
      </c>
      <c r="L90" s="76" t="str">
        <f>E6</f>
        <v>µg/l</v>
      </c>
      <c r="M90" s="64" t="s">
        <v>71</v>
      </c>
      <c r="N90" s="76">
        <f>K89-2*K90</f>
        <v>-2.572126176873871</v>
      </c>
      <c r="O90" s="76" t="str">
        <f>E6</f>
        <v>µg/l</v>
      </c>
      <c r="P90" s="49"/>
      <c r="Q90" s="93"/>
      <c r="R90" s="51" t="e">
        <f t="shared" si="19"/>
        <v>#N/A</v>
      </c>
      <c r="S90" s="51" t="e">
        <f t="shared" si="20"/>
        <v>#N/A</v>
      </c>
      <c r="T90" s="93"/>
      <c r="U90" s="133"/>
      <c r="V90" s="93"/>
      <c r="W90" s="93"/>
      <c r="X90" s="93"/>
      <c r="Y90" s="93"/>
      <c r="Z90" s="104"/>
      <c r="AA90" s="51" t="e">
        <f t="shared" si="21"/>
        <v>#N/A</v>
      </c>
      <c r="AC90" s="17"/>
      <c r="AE90" s="139"/>
      <c r="AF90" s="18"/>
      <c r="AI90" s="21"/>
      <c r="AJ90" s="21"/>
      <c r="AK90" s="21"/>
    </row>
    <row r="91" spans="1:37" x14ac:dyDescent="0.2">
      <c r="A91" s="41">
        <v>76</v>
      </c>
      <c r="B91" s="6"/>
      <c r="C91" s="4"/>
      <c r="D91" s="57" t="str">
        <f t="shared" si="15"/>
        <v/>
      </c>
      <c r="E91" s="58" t="str">
        <f t="shared" si="16"/>
        <v/>
      </c>
      <c r="F91" s="59" t="str">
        <f t="shared" si="14"/>
        <v/>
      </c>
      <c r="G91" s="60" t="str">
        <f t="shared" si="17"/>
        <v/>
      </c>
      <c r="H91" s="61" t="str">
        <f t="shared" si="18"/>
        <v/>
      </c>
      <c r="I91" s="9"/>
      <c r="J91" s="79"/>
      <c r="K91" s="76"/>
      <c r="L91" s="76"/>
      <c r="M91" s="76"/>
      <c r="N91" s="76"/>
      <c r="O91" s="76"/>
      <c r="P91" s="49"/>
      <c r="Q91" s="105"/>
      <c r="R91" s="51" t="e">
        <f t="shared" si="19"/>
        <v>#N/A</v>
      </c>
      <c r="S91" s="51" t="e">
        <f t="shared" si="20"/>
        <v>#N/A</v>
      </c>
      <c r="T91" s="93"/>
      <c r="U91" s="133"/>
      <c r="V91" s="93"/>
      <c r="W91" s="93"/>
      <c r="X91" s="93"/>
      <c r="Y91" s="93"/>
      <c r="Z91" s="104"/>
      <c r="AA91" s="51" t="e">
        <f t="shared" si="21"/>
        <v>#N/A</v>
      </c>
      <c r="AC91" s="17"/>
      <c r="AE91" s="139"/>
      <c r="AF91" s="18"/>
      <c r="AI91" s="21"/>
      <c r="AJ91" s="21"/>
      <c r="AK91" s="21"/>
    </row>
    <row r="92" spans="1:37" ht="17" x14ac:dyDescent="0.35">
      <c r="A92" s="41">
        <v>77</v>
      </c>
      <c r="B92" s="6"/>
      <c r="C92" s="4"/>
      <c r="D92" s="57" t="str">
        <f t="shared" si="15"/>
        <v/>
      </c>
      <c r="E92" s="58" t="str">
        <f t="shared" si="16"/>
        <v/>
      </c>
      <c r="F92" s="59" t="str">
        <f t="shared" si="14"/>
        <v/>
      </c>
      <c r="G92" s="60" t="str">
        <f t="shared" si="17"/>
        <v/>
      </c>
      <c r="H92" s="61" t="str">
        <f t="shared" si="18"/>
        <v/>
      </c>
      <c r="I92" s="9"/>
      <c r="J92" s="79"/>
      <c r="K92" s="76"/>
      <c r="L92" s="64" t="s">
        <v>50</v>
      </c>
      <c r="M92" s="64" t="s">
        <v>72</v>
      </c>
      <c r="N92" s="76">
        <f>N64</f>
        <v>31.667999999999999</v>
      </c>
      <c r="O92" s="76" t="str">
        <f>E6</f>
        <v>µg/l</v>
      </c>
      <c r="P92" s="49"/>
      <c r="Q92" s="105"/>
      <c r="R92" s="51" t="e">
        <f t="shared" si="19"/>
        <v>#N/A</v>
      </c>
      <c r="S92" s="51" t="e">
        <f t="shared" si="20"/>
        <v>#N/A</v>
      </c>
      <c r="T92" s="93"/>
      <c r="U92" s="133"/>
      <c r="V92" s="93"/>
      <c r="W92" s="93"/>
      <c r="X92" s="93"/>
      <c r="Y92" s="93"/>
      <c r="Z92" s="104"/>
      <c r="AA92" s="51" t="e">
        <f t="shared" si="21"/>
        <v>#N/A</v>
      </c>
      <c r="AC92" s="17"/>
      <c r="AE92" s="139"/>
      <c r="AF92" s="18"/>
      <c r="AI92" s="21"/>
      <c r="AJ92" s="21"/>
      <c r="AK92" s="21"/>
    </row>
    <row r="93" spans="1:37" ht="17" x14ac:dyDescent="0.35">
      <c r="A93" s="41">
        <v>78</v>
      </c>
      <c r="B93" s="6"/>
      <c r="C93" s="4"/>
      <c r="D93" s="57" t="str">
        <f t="shared" si="15"/>
        <v/>
      </c>
      <c r="E93" s="58" t="str">
        <f t="shared" si="16"/>
        <v/>
      </c>
      <c r="F93" s="59" t="str">
        <f t="shared" si="14"/>
        <v/>
      </c>
      <c r="G93" s="60" t="str">
        <f t="shared" si="17"/>
        <v/>
      </c>
      <c r="H93" s="61" t="str">
        <f t="shared" si="18"/>
        <v/>
      </c>
      <c r="I93" s="9"/>
      <c r="J93" s="79"/>
      <c r="K93" s="76"/>
      <c r="L93" s="76"/>
      <c r="M93" s="64" t="s">
        <v>73</v>
      </c>
      <c r="N93" s="76">
        <f>-N64</f>
        <v>-31.667999999999999</v>
      </c>
      <c r="O93" s="76" t="str">
        <f>E6</f>
        <v>µg/l</v>
      </c>
      <c r="P93" s="49"/>
      <c r="Q93" s="106"/>
      <c r="R93" s="51" t="e">
        <f t="shared" si="19"/>
        <v>#N/A</v>
      </c>
      <c r="S93" s="51" t="e">
        <f t="shared" si="20"/>
        <v>#N/A</v>
      </c>
      <c r="T93" s="93"/>
      <c r="U93" s="133"/>
      <c r="V93" s="93"/>
      <c r="W93" s="93"/>
      <c r="X93" s="93"/>
      <c r="Y93" s="93"/>
      <c r="AA93" s="51" t="e">
        <f t="shared" si="21"/>
        <v>#N/A</v>
      </c>
      <c r="AC93" s="17"/>
      <c r="AE93" s="139"/>
      <c r="AF93" s="18"/>
      <c r="AI93" s="21"/>
      <c r="AJ93" s="21"/>
      <c r="AK93" s="21"/>
    </row>
    <row r="94" spans="1:37" x14ac:dyDescent="0.2">
      <c r="A94" s="41">
        <v>79</v>
      </c>
      <c r="B94" s="6"/>
      <c r="C94" s="4"/>
      <c r="D94" s="57" t="str">
        <f t="shared" si="15"/>
        <v/>
      </c>
      <c r="E94" s="58" t="str">
        <f t="shared" si="16"/>
        <v/>
      </c>
      <c r="F94" s="59" t="str">
        <f t="shared" si="14"/>
        <v/>
      </c>
      <c r="G94" s="60" t="str">
        <f t="shared" si="17"/>
        <v/>
      </c>
      <c r="H94" s="61" t="str">
        <f t="shared" si="18"/>
        <v/>
      </c>
      <c r="I94" s="9"/>
      <c r="J94" s="79"/>
      <c r="K94" s="76"/>
      <c r="L94" s="76"/>
      <c r="M94" s="76"/>
      <c r="N94" s="76"/>
      <c r="O94" s="76"/>
      <c r="P94" s="49"/>
      <c r="R94" s="51" t="e">
        <f t="shared" si="19"/>
        <v>#N/A</v>
      </c>
      <c r="S94" s="51" t="e">
        <f t="shared" si="20"/>
        <v>#N/A</v>
      </c>
      <c r="T94" s="93"/>
      <c r="U94" s="133"/>
      <c r="V94" s="93"/>
      <c r="W94" s="93"/>
      <c r="X94" s="93"/>
      <c r="Y94" s="93"/>
      <c r="AA94" s="51" t="e">
        <f t="shared" si="21"/>
        <v>#N/A</v>
      </c>
      <c r="AC94" s="17"/>
      <c r="AE94" s="139"/>
      <c r="AF94" s="18"/>
      <c r="AI94" s="21"/>
      <c r="AJ94" s="21"/>
      <c r="AK94" s="21"/>
    </row>
    <row r="95" spans="1:37" x14ac:dyDescent="0.2">
      <c r="A95" s="41">
        <v>80</v>
      </c>
      <c r="B95" s="6"/>
      <c r="C95" s="4"/>
      <c r="D95" s="57" t="str">
        <f t="shared" si="15"/>
        <v/>
      </c>
      <c r="E95" s="58" t="str">
        <f t="shared" si="16"/>
        <v/>
      </c>
      <c r="F95" s="59" t="str">
        <f t="shared" si="14"/>
        <v/>
      </c>
      <c r="G95" s="60" t="str">
        <f t="shared" si="17"/>
        <v/>
      </c>
      <c r="H95" s="61" t="str">
        <f t="shared" si="18"/>
        <v/>
      </c>
      <c r="I95" s="9"/>
      <c r="J95" s="79"/>
      <c r="K95" s="76"/>
      <c r="L95" s="76"/>
      <c r="M95" s="64" t="s">
        <v>42</v>
      </c>
      <c r="N95" s="107">
        <f>1-H119/D119</f>
        <v>1</v>
      </c>
      <c r="O95" s="76"/>
      <c r="P95" s="49"/>
      <c r="R95" s="51" t="e">
        <f t="shared" si="19"/>
        <v>#N/A</v>
      </c>
      <c r="S95" s="51" t="e">
        <f t="shared" si="20"/>
        <v>#N/A</v>
      </c>
      <c r="T95" s="93"/>
      <c r="U95" s="133"/>
      <c r="V95" s="93"/>
      <c r="W95" s="93"/>
      <c r="X95" s="93"/>
      <c r="Y95" s="93"/>
      <c r="AA95" s="51" t="e">
        <f t="shared" si="21"/>
        <v>#N/A</v>
      </c>
      <c r="AC95" s="17"/>
      <c r="AE95" s="139"/>
      <c r="AF95" s="18"/>
      <c r="AI95" s="21"/>
      <c r="AJ95" s="21"/>
      <c r="AK95" s="21"/>
    </row>
    <row r="96" spans="1:37" x14ac:dyDescent="0.2">
      <c r="A96" s="41">
        <v>81</v>
      </c>
      <c r="B96" s="6"/>
      <c r="C96" s="4"/>
      <c r="D96" s="57" t="str">
        <f t="shared" si="15"/>
        <v/>
      </c>
      <c r="E96" s="58" t="str">
        <f t="shared" si="16"/>
        <v/>
      </c>
      <c r="F96" s="59" t="str">
        <f t="shared" si="14"/>
        <v/>
      </c>
      <c r="G96" s="60" t="str">
        <f t="shared" si="17"/>
        <v/>
      </c>
      <c r="H96" s="61" t="str">
        <f t="shared" si="18"/>
        <v/>
      </c>
      <c r="I96" s="9"/>
      <c r="J96" s="79"/>
      <c r="K96" s="64">
        <f>D119-H119</f>
        <v>36</v>
      </c>
      <c r="L96" s="68" t="s">
        <v>49</v>
      </c>
      <c r="M96" s="83">
        <f>D119</f>
        <v>36</v>
      </c>
      <c r="N96" s="76"/>
      <c r="O96" s="76"/>
      <c r="P96" s="49"/>
      <c r="R96" s="51" t="e">
        <f t="shared" si="19"/>
        <v>#N/A</v>
      </c>
      <c r="S96" s="51" t="e">
        <f t="shared" si="20"/>
        <v>#N/A</v>
      </c>
      <c r="T96" s="93"/>
      <c r="U96" s="133"/>
      <c r="V96" s="93"/>
      <c r="W96" s="93"/>
      <c r="X96" s="93"/>
      <c r="Y96" s="93"/>
      <c r="AA96" s="51" t="e">
        <f t="shared" si="21"/>
        <v>#N/A</v>
      </c>
      <c r="AC96" s="17"/>
      <c r="AE96" s="139"/>
      <c r="AF96" s="18"/>
      <c r="AI96" s="21"/>
      <c r="AJ96" s="21"/>
      <c r="AK96" s="21"/>
    </row>
    <row r="97" spans="1:37" ht="13.6" thickBot="1" x14ac:dyDescent="0.25">
      <c r="A97" s="41">
        <v>82</v>
      </c>
      <c r="B97" s="6"/>
      <c r="C97" s="4"/>
      <c r="D97" s="57" t="str">
        <f t="shared" si="15"/>
        <v/>
      </c>
      <c r="E97" s="58" t="str">
        <f t="shared" si="16"/>
        <v/>
      </c>
      <c r="F97" s="59" t="str">
        <f t="shared" si="14"/>
        <v/>
      </c>
      <c r="G97" s="60" t="str">
        <f t="shared" si="17"/>
        <v/>
      </c>
      <c r="H97" s="61" t="str">
        <f t="shared" si="18"/>
        <v/>
      </c>
      <c r="I97" s="9"/>
      <c r="J97" s="84"/>
      <c r="K97" s="85"/>
      <c r="L97" s="85"/>
      <c r="M97" s="85"/>
      <c r="N97" s="85"/>
      <c r="O97" s="85"/>
      <c r="P97" s="108"/>
      <c r="R97" s="51" t="e">
        <f t="shared" si="19"/>
        <v>#N/A</v>
      </c>
      <c r="S97" s="51" t="e">
        <f t="shared" si="20"/>
        <v>#N/A</v>
      </c>
      <c r="T97" s="93"/>
      <c r="U97" s="133"/>
      <c r="V97" s="93"/>
      <c r="W97" s="93"/>
      <c r="X97" s="93"/>
      <c r="Y97" s="93"/>
      <c r="AA97" s="51" t="e">
        <f t="shared" si="21"/>
        <v>#N/A</v>
      </c>
      <c r="AC97" s="17"/>
      <c r="AE97" s="139"/>
      <c r="AF97" s="18"/>
      <c r="AI97" s="21"/>
      <c r="AJ97" s="21"/>
      <c r="AK97" s="21"/>
    </row>
    <row r="98" spans="1:37" x14ac:dyDescent="0.2">
      <c r="A98" s="41">
        <v>83</v>
      </c>
      <c r="B98" s="6"/>
      <c r="C98" s="4"/>
      <c r="D98" s="57" t="str">
        <f t="shared" si="15"/>
        <v/>
      </c>
      <c r="E98" s="58" t="str">
        <f t="shared" si="16"/>
        <v/>
      </c>
      <c r="F98" s="59" t="str">
        <f t="shared" si="14"/>
        <v/>
      </c>
      <c r="G98" s="60" t="str">
        <f t="shared" si="17"/>
        <v/>
      </c>
      <c r="H98" s="61" t="str">
        <f t="shared" si="18"/>
        <v/>
      </c>
      <c r="I98" s="9"/>
      <c r="J98" s="19"/>
      <c r="K98" s="19"/>
      <c r="L98" s="19"/>
      <c r="M98" s="19"/>
      <c r="N98" s="19"/>
      <c r="O98" s="19"/>
      <c r="P98" s="9"/>
      <c r="R98" s="51" t="e">
        <f t="shared" si="19"/>
        <v>#N/A</v>
      </c>
      <c r="S98" s="51" t="e">
        <f t="shared" si="20"/>
        <v>#N/A</v>
      </c>
      <c r="T98" s="93"/>
      <c r="U98" s="133"/>
      <c r="V98" s="93"/>
      <c r="W98" s="93"/>
      <c r="X98" s="93"/>
      <c r="Y98" s="93"/>
      <c r="AA98" s="51" t="e">
        <f t="shared" si="21"/>
        <v>#N/A</v>
      </c>
      <c r="AC98" s="17"/>
      <c r="AE98" s="139"/>
      <c r="AF98" s="18"/>
      <c r="AI98" s="21"/>
      <c r="AJ98" s="21"/>
      <c r="AK98" s="21"/>
    </row>
    <row r="99" spans="1:37" x14ac:dyDescent="0.2">
      <c r="A99" s="41">
        <v>84</v>
      </c>
      <c r="B99" s="6"/>
      <c r="C99" s="4"/>
      <c r="D99" s="57" t="str">
        <f t="shared" si="15"/>
        <v/>
      </c>
      <c r="E99" s="58" t="str">
        <f t="shared" si="16"/>
        <v/>
      </c>
      <c r="F99" s="59" t="str">
        <f t="shared" si="14"/>
        <v/>
      </c>
      <c r="G99" s="60" t="str">
        <f t="shared" si="17"/>
        <v/>
      </c>
      <c r="H99" s="61" t="str">
        <f t="shared" si="18"/>
        <v/>
      </c>
      <c r="I99" s="9"/>
      <c r="J99" s="19"/>
      <c r="K99" s="19"/>
      <c r="L99" s="19"/>
      <c r="M99" s="19"/>
      <c r="N99" s="19"/>
      <c r="O99" s="19"/>
      <c r="P99" s="9"/>
      <c r="R99" s="51" t="e">
        <f t="shared" si="19"/>
        <v>#N/A</v>
      </c>
      <c r="S99" s="51" t="e">
        <f t="shared" si="20"/>
        <v>#N/A</v>
      </c>
      <c r="T99" s="93"/>
      <c r="U99" s="133"/>
      <c r="V99" s="93"/>
      <c r="W99" s="93"/>
      <c r="X99" s="93"/>
      <c r="Y99" s="93"/>
      <c r="AA99" s="51" t="e">
        <f t="shared" si="21"/>
        <v>#N/A</v>
      </c>
      <c r="AC99" s="17"/>
      <c r="AE99" s="139"/>
      <c r="AF99" s="18"/>
      <c r="AI99" s="21"/>
      <c r="AJ99" s="21"/>
      <c r="AK99" s="21"/>
    </row>
    <row r="100" spans="1:37" x14ac:dyDescent="0.2">
      <c r="A100" s="41">
        <v>85</v>
      </c>
      <c r="B100" s="6"/>
      <c r="C100" s="4"/>
      <c r="D100" s="57" t="str">
        <f t="shared" si="15"/>
        <v/>
      </c>
      <c r="E100" s="58" t="str">
        <f t="shared" si="16"/>
        <v/>
      </c>
      <c r="F100" s="59" t="str">
        <f t="shared" si="14"/>
        <v/>
      </c>
      <c r="G100" s="60" t="str">
        <f t="shared" si="17"/>
        <v/>
      </c>
      <c r="H100" s="61" t="str">
        <f t="shared" si="18"/>
        <v/>
      </c>
      <c r="I100" s="9"/>
      <c r="J100" s="9"/>
      <c r="K100" s="9"/>
      <c r="L100" s="9"/>
      <c r="M100" s="9"/>
      <c r="N100" s="9"/>
      <c r="O100" s="9"/>
      <c r="P100" s="9"/>
      <c r="R100" s="51" t="e">
        <f t="shared" si="19"/>
        <v>#N/A</v>
      </c>
      <c r="S100" s="51" t="e">
        <f t="shared" si="20"/>
        <v>#N/A</v>
      </c>
      <c r="T100" s="93"/>
      <c r="U100" s="133"/>
      <c r="V100" s="93"/>
      <c r="W100" s="93"/>
      <c r="X100" s="93"/>
      <c r="Y100" s="93"/>
      <c r="AA100" s="51" t="e">
        <f t="shared" si="21"/>
        <v>#N/A</v>
      </c>
      <c r="AC100" s="17"/>
      <c r="AE100" s="139"/>
      <c r="AF100" s="18"/>
      <c r="AI100" s="21"/>
      <c r="AJ100" s="21"/>
      <c r="AK100" s="21"/>
    </row>
    <row r="101" spans="1:37" x14ac:dyDescent="0.2">
      <c r="A101" s="41">
        <v>86</v>
      </c>
      <c r="B101" s="6"/>
      <c r="C101" s="4"/>
      <c r="D101" s="57" t="str">
        <f t="shared" si="15"/>
        <v/>
      </c>
      <c r="E101" s="58" t="str">
        <f t="shared" si="16"/>
        <v/>
      </c>
      <c r="F101" s="59" t="str">
        <f t="shared" si="14"/>
        <v/>
      </c>
      <c r="G101" s="60" t="str">
        <f t="shared" si="17"/>
        <v/>
      </c>
      <c r="H101" s="61" t="str">
        <f t="shared" si="18"/>
        <v/>
      </c>
      <c r="I101" s="9"/>
      <c r="J101" s="9"/>
      <c r="K101" s="9"/>
      <c r="L101" s="9"/>
      <c r="M101" s="9"/>
      <c r="N101" s="9"/>
      <c r="O101" s="9"/>
      <c r="P101" s="9"/>
      <c r="R101" s="51" t="e">
        <f t="shared" si="19"/>
        <v>#N/A</v>
      </c>
      <c r="S101" s="51" t="e">
        <f t="shared" si="20"/>
        <v>#N/A</v>
      </c>
      <c r="T101" s="93"/>
      <c r="U101" s="133"/>
      <c r="V101" s="93"/>
      <c r="W101" s="93"/>
      <c r="X101" s="93"/>
      <c r="Y101" s="93"/>
      <c r="AA101" s="51" t="e">
        <f t="shared" si="21"/>
        <v>#N/A</v>
      </c>
      <c r="AC101" s="17"/>
      <c r="AE101" s="139"/>
      <c r="AF101" s="18"/>
      <c r="AI101" s="21"/>
      <c r="AJ101" s="21"/>
      <c r="AK101" s="21"/>
    </row>
    <row r="102" spans="1:37" x14ac:dyDescent="0.2">
      <c r="A102" s="41">
        <v>87</v>
      </c>
      <c r="B102" s="6"/>
      <c r="C102" s="4"/>
      <c r="D102" s="57" t="str">
        <f t="shared" si="15"/>
        <v/>
      </c>
      <c r="E102" s="58" t="str">
        <f t="shared" si="16"/>
        <v/>
      </c>
      <c r="F102" s="59" t="str">
        <f t="shared" si="14"/>
        <v/>
      </c>
      <c r="G102" s="60" t="str">
        <f t="shared" si="17"/>
        <v/>
      </c>
      <c r="H102" s="61" t="str">
        <f t="shared" si="18"/>
        <v/>
      </c>
      <c r="I102" s="9"/>
      <c r="J102" s="9"/>
      <c r="K102" s="9"/>
      <c r="L102" s="9"/>
      <c r="M102" s="9"/>
      <c r="N102" s="9"/>
      <c r="O102" s="9"/>
      <c r="P102" s="9"/>
      <c r="R102" s="51" t="e">
        <f t="shared" si="19"/>
        <v>#N/A</v>
      </c>
      <c r="S102" s="51" t="e">
        <f t="shared" si="20"/>
        <v>#N/A</v>
      </c>
      <c r="T102" s="93"/>
      <c r="U102" s="133"/>
      <c r="V102" s="93"/>
      <c r="W102" s="93"/>
      <c r="X102" s="93"/>
      <c r="Y102" s="93"/>
      <c r="AA102" s="51" t="e">
        <f t="shared" si="21"/>
        <v>#N/A</v>
      </c>
      <c r="AC102" s="17"/>
      <c r="AE102" s="139"/>
      <c r="AF102" s="18"/>
      <c r="AI102" s="21"/>
      <c r="AJ102" s="21"/>
      <c r="AK102" s="21"/>
    </row>
    <row r="103" spans="1:37" x14ac:dyDescent="0.2">
      <c r="A103" s="41">
        <v>88</v>
      </c>
      <c r="B103" s="6"/>
      <c r="C103" s="4"/>
      <c r="D103" s="57" t="str">
        <f t="shared" si="15"/>
        <v/>
      </c>
      <c r="E103" s="58" t="str">
        <f t="shared" si="16"/>
        <v/>
      </c>
      <c r="F103" s="59" t="str">
        <f t="shared" si="14"/>
        <v/>
      </c>
      <c r="G103" s="60" t="str">
        <f t="shared" si="17"/>
        <v/>
      </c>
      <c r="H103" s="61" t="str">
        <f t="shared" si="18"/>
        <v/>
      </c>
      <c r="I103" s="9"/>
      <c r="J103" s="9"/>
      <c r="K103" s="9"/>
      <c r="L103" s="9"/>
      <c r="M103" s="9"/>
      <c r="N103" s="9"/>
      <c r="O103" s="9"/>
      <c r="P103" s="9"/>
      <c r="R103" s="51" t="e">
        <f t="shared" si="19"/>
        <v>#N/A</v>
      </c>
      <c r="S103" s="51" t="e">
        <f t="shared" si="20"/>
        <v>#N/A</v>
      </c>
      <c r="T103" s="93"/>
      <c r="U103" s="133"/>
      <c r="V103" s="93"/>
      <c r="W103" s="93"/>
      <c r="X103" s="93"/>
      <c r="Y103" s="93"/>
      <c r="AA103" s="51" t="e">
        <f t="shared" si="21"/>
        <v>#N/A</v>
      </c>
      <c r="AC103" s="17"/>
      <c r="AE103" s="139"/>
      <c r="AF103" s="18"/>
      <c r="AI103" s="21"/>
      <c r="AJ103" s="21"/>
      <c r="AK103" s="21"/>
    </row>
    <row r="104" spans="1:37" x14ac:dyDescent="0.2">
      <c r="A104" s="41">
        <v>89</v>
      </c>
      <c r="B104" s="6"/>
      <c r="C104" s="4"/>
      <c r="D104" s="57" t="str">
        <f t="shared" si="15"/>
        <v/>
      </c>
      <c r="E104" s="58" t="str">
        <f t="shared" si="16"/>
        <v/>
      </c>
      <c r="F104" s="59" t="str">
        <f t="shared" si="14"/>
        <v/>
      </c>
      <c r="G104" s="60" t="str">
        <f t="shared" si="17"/>
        <v/>
      </c>
      <c r="H104" s="61" t="str">
        <f t="shared" si="18"/>
        <v/>
      </c>
      <c r="I104" s="9"/>
      <c r="J104" s="9"/>
      <c r="K104" s="9"/>
      <c r="L104" s="9"/>
      <c r="M104" s="9"/>
      <c r="N104" s="9"/>
      <c r="O104" s="9"/>
      <c r="P104" s="9"/>
      <c r="R104" s="51" t="e">
        <f t="shared" si="19"/>
        <v>#N/A</v>
      </c>
      <c r="S104" s="51" t="e">
        <f t="shared" si="20"/>
        <v>#N/A</v>
      </c>
      <c r="T104" s="93"/>
      <c r="U104" s="133"/>
      <c r="V104" s="93"/>
      <c r="W104" s="93"/>
      <c r="X104" s="93"/>
      <c r="Y104" s="93"/>
      <c r="AA104" s="51" t="e">
        <f t="shared" si="21"/>
        <v>#N/A</v>
      </c>
      <c r="AC104" s="17"/>
      <c r="AE104" s="139"/>
      <c r="AF104" s="18"/>
      <c r="AI104" s="21"/>
      <c r="AJ104" s="21"/>
      <c r="AK104" s="21"/>
    </row>
    <row r="105" spans="1:37" x14ac:dyDescent="0.2">
      <c r="A105" s="41">
        <v>90</v>
      </c>
      <c r="B105" s="6"/>
      <c r="C105" s="4"/>
      <c r="D105" s="57" t="str">
        <f t="shared" si="15"/>
        <v/>
      </c>
      <c r="E105" s="58" t="str">
        <f t="shared" si="16"/>
        <v/>
      </c>
      <c r="F105" s="59" t="str">
        <f t="shared" si="14"/>
        <v/>
      </c>
      <c r="G105" s="60" t="str">
        <f t="shared" si="17"/>
        <v/>
      </c>
      <c r="H105" s="61" t="str">
        <f t="shared" si="18"/>
        <v/>
      </c>
      <c r="I105" s="9"/>
      <c r="J105" s="9"/>
      <c r="K105" s="9"/>
      <c r="L105" s="9"/>
      <c r="M105" s="9"/>
      <c r="N105" s="9"/>
      <c r="O105" s="9"/>
      <c r="P105" s="9"/>
      <c r="R105" s="51" t="e">
        <f t="shared" si="19"/>
        <v>#N/A</v>
      </c>
      <c r="S105" s="51" t="e">
        <f t="shared" si="20"/>
        <v>#N/A</v>
      </c>
      <c r="T105" s="93"/>
      <c r="U105" s="133"/>
      <c r="V105" s="93"/>
      <c r="W105" s="93"/>
      <c r="X105" s="93"/>
      <c r="Y105" s="93"/>
      <c r="AA105" s="51" t="e">
        <f t="shared" si="21"/>
        <v>#N/A</v>
      </c>
      <c r="AC105" s="17"/>
      <c r="AE105" s="139"/>
      <c r="AF105" s="18"/>
      <c r="AI105" s="21"/>
      <c r="AJ105" s="21"/>
      <c r="AK105" s="21"/>
    </row>
    <row r="106" spans="1:37" x14ac:dyDescent="0.2">
      <c r="A106" s="41">
        <v>91</v>
      </c>
      <c r="B106" s="6"/>
      <c r="C106" s="4"/>
      <c r="D106" s="57" t="str">
        <f t="shared" si="15"/>
        <v/>
      </c>
      <c r="E106" s="58" t="str">
        <f t="shared" si="16"/>
        <v/>
      </c>
      <c r="F106" s="59" t="str">
        <f t="shared" si="14"/>
        <v/>
      </c>
      <c r="G106" s="60" t="str">
        <f t="shared" si="17"/>
        <v/>
      </c>
      <c r="H106" s="61" t="str">
        <f t="shared" si="18"/>
        <v/>
      </c>
      <c r="I106" s="9"/>
      <c r="J106" s="9"/>
      <c r="K106" s="9"/>
      <c r="L106" s="9"/>
      <c r="M106" s="9"/>
      <c r="N106" s="9"/>
      <c r="O106" s="9"/>
      <c r="P106" s="9"/>
      <c r="R106" s="51" t="e">
        <f t="shared" si="19"/>
        <v>#N/A</v>
      </c>
      <c r="S106" s="51" t="e">
        <f t="shared" si="20"/>
        <v>#N/A</v>
      </c>
      <c r="T106" s="93"/>
      <c r="U106" s="133"/>
      <c r="V106" s="93"/>
      <c r="W106" s="93"/>
      <c r="X106" s="93"/>
      <c r="Y106" s="93"/>
      <c r="AA106" s="51" t="e">
        <f t="shared" si="21"/>
        <v>#N/A</v>
      </c>
      <c r="AC106" s="17"/>
      <c r="AE106" s="139"/>
      <c r="AF106" s="18"/>
      <c r="AI106" s="21"/>
      <c r="AJ106" s="21"/>
      <c r="AK106" s="21"/>
    </row>
    <row r="107" spans="1:37" x14ac:dyDescent="0.2">
      <c r="A107" s="41">
        <v>92</v>
      </c>
      <c r="B107" s="6"/>
      <c r="C107" s="4"/>
      <c r="D107" s="57" t="str">
        <f t="shared" si="15"/>
        <v/>
      </c>
      <c r="E107" s="58" t="str">
        <f t="shared" si="16"/>
        <v/>
      </c>
      <c r="F107" s="59" t="str">
        <f t="shared" si="14"/>
        <v/>
      </c>
      <c r="G107" s="60" t="str">
        <f t="shared" si="17"/>
        <v/>
      </c>
      <c r="H107" s="61" t="str">
        <f t="shared" si="18"/>
        <v/>
      </c>
      <c r="I107" s="9"/>
      <c r="J107" s="9"/>
      <c r="K107" s="9"/>
      <c r="L107" s="9"/>
      <c r="M107" s="9"/>
      <c r="N107" s="9"/>
      <c r="O107" s="9"/>
      <c r="P107" s="9"/>
      <c r="R107" s="51" t="e">
        <f t="shared" si="19"/>
        <v>#N/A</v>
      </c>
      <c r="S107" s="51" t="e">
        <f t="shared" si="20"/>
        <v>#N/A</v>
      </c>
      <c r="T107" s="93"/>
      <c r="U107" s="133"/>
      <c r="V107" s="93"/>
      <c r="W107" s="93"/>
      <c r="X107" s="93"/>
      <c r="Y107" s="93"/>
      <c r="AA107" s="51" t="e">
        <f t="shared" si="21"/>
        <v>#N/A</v>
      </c>
      <c r="AC107" s="17"/>
      <c r="AE107" s="139"/>
      <c r="AF107" s="18"/>
      <c r="AI107" s="21"/>
      <c r="AJ107" s="21"/>
      <c r="AK107" s="21"/>
    </row>
    <row r="108" spans="1:37" x14ac:dyDescent="0.2">
      <c r="A108" s="41">
        <v>93</v>
      </c>
      <c r="B108" s="6"/>
      <c r="C108" s="4"/>
      <c r="D108" s="57" t="str">
        <f t="shared" si="15"/>
        <v/>
      </c>
      <c r="E108" s="58" t="str">
        <f t="shared" si="16"/>
        <v/>
      </c>
      <c r="F108" s="59" t="str">
        <f t="shared" si="14"/>
        <v/>
      </c>
      <c r="G108" s="60" t="str">
        <f t="shared" si="17"/>
        <v/>
      </c>
      <c r="H108" s="61" t="str">
        <f t="shared" si="18"/>
        <v/>
      </c>
      <c r="I108" s="9"/>
      <c r="J108" s="9"/>
      <c r="K108" s="9"/>
      <c r="L108" s="9"/>
      <c r="M108" s="9"/>
      <c r="N108" s="9"/>
      <c r="O108" s="9"/>
      <c r="P108" s="9"/>
      <c r="R108" s="51" t="e">
        <f t="shared" si="19"/>
        <v>#N/A</v>
      </c>
      <c r="S108" s="51" t="e">
        <f t="shared" si="20"/>
        <v>#N/A</v>
      </c>
      <c r="T108" s="93"/>
      <c r="U108" s="133"/>
      <c r="V108" s="93"/>
      <c r="W108" s="93"/>
      <c r="X108" s="93"/>
      <c r="Y108" s="93"/>
      <c r="AA108" s="51" t="e">
        <f t="shared" si="21"/>
        <v>#N/A</v>
      </c>
      <c r="AC108" s="17"/>
      <c r="AE108" s="139"/>
      <c r="AF108" s="18"/>
      <c r="AI108" s="21"/>
      <c r="AJ108" s="21"/>
      <c r="AK108" s="21"/>
    </row>
    <row r="109" spans="1:37" x14ac:dyDescent="0.2">
      <c r="A109" s="41">
        <v>94</v>
      </c>
      <c r="B109" s="6"/>
      <c r="C109" s="4"/>
      <c r="D109" s="57" t="str">
        <f t="shared" si="15"/>
        <v/>
      </c>
      <c r="E109" s="58" t="str">
        <f t="shared" si="16"/>
        <v/>
      </c>
      <c r="F109" s="59" t="str">
        <f t="shared" si="14"/>
        <v/>
      </c>
      <c r="G109" s="60" t="str">
        <f t="shared" si="17"/>
        <v/>
      </c>
      <c r="H109" s="61" t="str">
        <f t="shared" si="18"/>
        <v/>
      </c>
      <c r="I109" s="9"/>
      <c r="J109" s="9"/>
      <c r="K109" s="9"/>
      <c r="L109" s="9"/>
      <c r="M109" s="9"/>
      <c r="N109" s="9"/>
      <c r="O109" s="9"/>
      <c r="P109" s="9"/>
      <c r="R109" s="51" t="e">
        <f t="shared" si="19"/>
        <v>#N/A</v>
      </c>
      <c r="S109" s="51" t="e">
        <f t="shared" si="20"/>
        <v>#N/A</v>
      </c>
      <c r="T109" s="93"/>
      <c r="U109" s="133"/>
      <c r="V109" s="93"/>
      <c r="W109" s="93"/>
      <c r="X109" s="93"/>
      <c r="Y109" s="93"/>
      <c r="AA109" s="51" t="e">
        <f t="shared" si="21"/>
        <v>#N/A</v>
      </c>
      <c r="AC109" s="17"/>
      <c r="AE109" s="139"/>
      <c r="AF109" s="18"/>
      <c r="AI109" s="21"/>
      <c r="AJ109" s="21"/>
      <c r="AK109" s="21"/>
    </row>
    <row r="110" spans="1:37" x14ac:dyDescent="0.2">
      <c r="A110" s="41">
        <v>95</v>
      </c>
      <c r="B110" s="6"/>
      <c r="C110" s="4"/>
      <c r="D110" s="57" t="str">
        <f t="shared" si="15"/>
        <v/>
      </c>
      <c r="E110" s="58" t="str">
        <f t="shared" si="16"/>
        <v/>
      </c>
      <c r="F110" s="59" t="str">
        <f t="shared" si="14"/>
        <v/>
      </c>
      <c r="G110" s="60" t="str">
        <f t="shared" si="17"/>
        <v/>
      </c>
      <c r="H110" s="61" t="str">
        <f t="shared" si="18"/>
        <v/>
      </c>
      <c r="I110" s="9"/>
      <c r="J110" s="19"/>
      <c r="K110" s="9"/>
      <c r="L110" s="9"/>
      <c r="M110" s="9"/>
      <c r="N110" s="9"/>
      <c r="O110" s="9"/>
      <c r="P110" s="9"/>
      <c r="R110" s="51" t="e">
        <f t="shared" si="19"/>
        <v>#N/A</v>
      </c>
      <c r="S110" s="51" t="e">
        <f t="shared" si="20"/>
        <v>#N/A</v>
      </c>
      <c r="T110" s="93"/>
      <c r="U110" s="133"/>
      <c r="V110" s="93"/>
      <c r="W110" s="93"/>
      <c r="X110" s="93"/>
      <c r="Y110" s="93"/>
      <c r="AA110" s="51" t="e">
        <f t="shared" si="21"/>
        <v>#N/A</v>
      </c>
      <c r="AC110" s="17"/>
      <c r="AE110" s="139"/>
      <c r="AF110" s="18"/>
      <c r="AI110" s="21"/>
      <c r="AJ110" s="21"/>
      <c r="AK110" s="21"/>
    </row>
    <row r="111" spans="1:37" x14ac:dyDescent="0.2">
      <c r="A111" s="41">
        <v>96</v>
      </c>
      <c r="B111" s="6"/>
      <c r="C111" s="4"/>
      <c r="D111" s="57" t="str">
        <f t="shared" si="15"/>
        <v/>
      </c>
      <c r="E111" s="58" t="str">
        <f t="shared" si="16"/>
        <v/>
      </c>
      <c r="F111" s="59" t="str">
        <f t="shared" si="14"/>
        <v/>
      </c>
      <c r="G111" s="60" t="str">
        <f t="shared" si="17"/>
        <v/>
      </c>
      <c r="H111" s="61" t="str">
        <f t="shared" si="18"/>
        <v/>
      </c>
      <c r="I111" s="9"/>
      <c r="J111" s="9"/>
      <c r="K111" s="9"/>
      <c r="L111" s="9"/>
      <c r="M111" s="9"/>
      <c r="N111" s="9"/>
      <c r="O111" s="9"/>
      <c r="P111" s="9"/>
      <c r="Q111" s="109"/>
      <c r="R111" s="51" t="e">
        <f t="shared" si="19"/>
        <v>#N/A</v>
      </c>
      <c r="S111" s="51" t="e">
        <f t="shared" si="20"/>
        <v>#N/A</v>
      </c>
      <c r="T111" s="93"/>
      <c r="U111" s="133"/>
      <c r="V111" s="93"/>
      <c r="W111" s="93"/>
      <c r="X111" s="93"/>
      <c r="Y111" s="93"/>
      <c r="AA111" s="51" t="e">
        <f t="shared" si="21"/>
        <v>#N/A</v>
      </c>
      <c r="AC111" s="17"/>
      <c r="AE111" s="139"/>
      <c r="AF111" s="18"/>
      <c r="AI111" s="21"/>
      <c r="AJ111" s="21"/>
      <c r="AK111" s="21"/>
    </row>
    <row r="112" spans="1:37" x14ac:dyDescent="0.2">
      <c r="A112" s="41">
        <v>97</v>
      </c>
      <c r="B112" s="6"/>
      <c r="C112" s="4"/>
      <c r="D112" s="57" t="str">
        <f t="shared" si="15"/>
        <v/>
      </c>
      <c r="E112" s="58" t="str">
        <f t="shared" si="16"/>
        <v/>
      </c>
      <c r="F112" s="59" t="str">
        <f t="shared" si="14"/>
        <v/>
      </c>
      <c r="G112" s="60" t="str">
        <f t="shared" si="17"/>
        <v/>
      </c>
      <c r="H112" s="61" t="str">
        <f t="shared" si="18"/>
        <v/>
      </c>
      <c r="I112" s="9"/>
      <c r="J112" s="9"/>
      <c r="K112" s="9"/>
      <c r="L112" s="9"/>
      <c r="M112" s="9"/>
      <c r="N112" s="9"/>
      <c r="O112" s="9"/>
      <c r="P112" s="9"/>
      <c r="Q112" s="109"/>
      <c r="R112" s="51" t="e">
        <f t="shared" si="19"/>
        <v>#N/A</v>
      </c>
      <c r="S112" s="51" t="e">
        <f t="shared" si="20"/>
        <v>#N/A</v>
      </c>
      <c r="T112" s="93"/>
      <c r="U112" s="133"/>
      <c r="V112" s="93"/>
      <c r="W112" s="93"/>
      <c r="X112" s="93"/>
      <c r="Y112" s="93"/>
      <c r="AA112" s="51" t="e">
        <f t="shared" si="21"/>
        <v>#N/A</v>
      </c>
      <c r="AC112" s="17"/>
      <c r="AE112" s="139"/>
      <c r="AF112" s="18"/>
      <c r="AI112" s="21"/>
      <c r="AJ112" s="21"/>
      <c r="AK112" s="21"/>
    </row>
    <row r="113" spans="1:37" x14ac:dyDescent="0.2">
      <c r="A113" s="41">
        <v>98</v>
      </c>
      <c r="B113" s="6"/>
      <c r="C113" s="4"/>
      <c r="D113" s="57" t="str">
        <f t="shared" si="15"/>
        <v/>
      </c>
      <c r="E113" s="58" t="str">
        <f t="shared" si="16"/>
        <v/>
      </c>
      <c r="F113" s="59" t="str">
        <f t="shared" si="14"/>
        <v/>
      </c>
      <c r="G113" s="60" t="str">
        <f t="shared" si="17"/>
        <v/>
      </c>
      <c r="H113" s="61" t="str">
        <f t="shared" si="18"/>
        <v/>
      </c>
      <c r="I113" s="9"/>
      <c r="J113" s="9"/>
      <c r="K113" s="9"/>
      <c r="L113" s="9"/>
      <c r="M113" s="9"/>
      <c r="N113" s="9"/>
      <c r="O113" s="9"/>
      <c r="P113" s="9"/>
      <c r="R113" s="51" t="e">
        <f t="shared" si="19"/>
        <v>#N/A</v>
      </c>
      <c r="S113" s="51" t="e">
        <f t="shared" si="20"/>
        <v>#N/A</v>
      </c>
      <c r="T113" s="93"/>
      <c r="U113" s="133"/>
      <c r="V113" s="93"/>
      <c r="W113" s="93"/>
      <c r="X113" s="93"/>
      <c r="Y113" s="93"/>
      <c r="AA113" s="51" t="e">
        <f t="shared" si="21"/>
        <v>#N/A</v>
      </c>
      <c r="AC113" s="17"/>
      <c r="AE113" s="139"/>
      <c r="AF113" s="18"/>
      <c r="AI113" s="21"/>
      <c r="AJ113" s="21"/>
      <c r="AK113" s="21"/>
    </row>
    <row r="114" spans="1:37" x14ac:dyDescent="0.2">
      <c r="A114" s="41">
        <v>99</v>
      </c>
      <c r="B114" s="6"/>
      <c r="C114" s="4"/>
      <c r="D114" s="57" t="str">
        <f t="shared" si="15"/>
        <v/>
      </c>
      <c r="E114" s="58" t="str">
        <f t="shared" si="16"/>
        <v/>
      </c>
      <c r="F114" s="59" t="str">
        <f t="shared" si="14"/>
        <v/>
      </c>
      <c r="G114" s="60" t="str">
        <f t="shared" si="17"/>
        <v/>
      </c>
      <c r="H114" s="61" t="str">
        <f t="shared" si="18"/>
        <v/>
      </c>
      <c r="I114" s="9"/>
      <c r="J114" s="9"/>
      <c r="K114" s="9"/>
      <c r="L114" s="9"/>
      <c r="M114" s="9"/>
      <c r="N114" s="9"/>
      <c r="O114" s="9"/>
      <c r="P114" s="9"/>
      <c r="R114" s="51" t="e">
        <f t="shared" si="19"/>
        <v>#N/A</v>
      </c>
      <c r="S114" s="51" t="e">
        <f t="shared" si="20"/>
        <v>#N/A</v>
      </c>
      <c r="T114" s="93"/>
      <c r="U114" s="133"/>
      <c r="V114" s="93"/>
      <c r="W114" s="93"/>
      <c r="X114" s="93"/>
      <c r="Y114" s="93"/>
      <c r="AA114" s="51" t="e">
        <f t="shared" si="21"/>
        <v>#N/A</v>
      </c>
      <c r="AC114" s="17"/>
      <c r="AE114" s="139"/>
      <c r="AF114" s="18"/>
      <c r="AI114" s="21"/>
      <c r="AJ114" s="21"/>
      <c r="AK114" s="21"/>
    </row>
    <row r="115" spans="1:37" ht="13.6" thickBot="1" x14ac:dyDescent="0.25">
      <c r="A115" s="110">
        <v>100</v>
      </c>
      <c r="B115" s="7"/>
      <c r="C115" s="5"/>
      <c r="D115" s="111" t="str">
        <f t="shared" si="15"/>
        <v/>
      </c>
      <c r="E115" s="112" t="str">
        <f t="shared" si="16"/>
        <v/>
      </c>
      <c r="F115" s="113" t="str">
        <f>IF(B115="","",IF(E115&gt;$F$117,"Ao",IF(E115&lt;$F$118,"Au","")))</f>
        <v/>
      </c>
      <c r="G115" s="114" t="str">
        <f t="shared" si="17"/>
        <v/>
      </c>
      <c r="H115" s="115" t="str">
        <f t="shared" si="18"/>
        <v/>
      </c>
      <c r="I115" s="9"/>
      <c r="J115" s="9"/>
      <c r="K115" s="9"/>
      <c r="L115" s="9"/>
      <c r="M115" s="9"/>
      <c r="N115" s="9"/>
      <c r="O115" s="9"/>
      <c r="P115" s="9"/>
      <c r="R115" s="116" t="e">
        <f t="shared" si="19"/>
        <v>#N/A</v>
      </c>
      <c r="S115" s="116" t="e">
        <f t="shared" si="20"/>
        <v>#N/A</v>
      </c>
      <c r="T115" s="93"/>
      <c r="U115" s="133"/>
      <c r="V115" s="93"/>
      <c r="W115" s="93"/>
      <c r="X115" s="93"/>
      <c r="Y115" s="93"/>
      <c r="AA115" s="116" t="e">
        <f t="shared" si="21"/>
        <v>#N/A</v>
      </c>
      <c r="AC115" s="17"/>
      <c r="AE115" s="139"/>
      <c r="AF115" s="18"/>
      <c r="AI115" s="21"/>
      <c r="AJ115" s="21"/>
      <c r="AK115" s="21"/>
    </row>
    <row r="116" spans="1:37" ht="17" x14ac:dyDescent="0.35">
      <c r="A116" s="9"/>
      <c r="B116" s="9"/>
      <c r="C116" s="122" t="s">
        <v>80</v>
      </c>
      <c r="D116" s="125">
        <f>MIN(D16:D115)</f>
        <v>1.38</v>
      </c>
      <c r="E116" s="121"/>
      <c r="F116" s="68" t="s">
        <v>59</v>
      </c>
      <c r="G116" s="121"/>
      <c r="H116" s="121"/>
      <c r="I116" s="9"/>
      <c r="J116" s="9"/>
      <c r="K116" s="9"/>
      <c r="L116" s="9"/>
      <c r="M116" s="9"/>
      <c r="N116" s="9"/>
      <c r="O116" s="9"/>
      <c r="P116" s="9"/>
      <c r="R116" s="16"/>
      <c r="AC116" s="17"/>
      <c r="AF116" s="16"/>
      <c r="AI116" s="21"/>
      <c r="AJ116" s="21"/>
      <c r="AK116" s="21"/>
    </row>
    <row r="117" spans="1:37" x14ac:dyDescent="0.2">
      <c r="A117" s="9"/>
      <c r="B117" s="9"/>
      <c r="C117" s="122" t="s">
        <v>15</v>
      </c>
      <c r="D117" s="123">
        <f>MEDIAN(D16:D115)</f>
        <v>18.72</v>
      </c>
      <c r="E117" s="124"/>
      <c r="F117" s="97">
        <f>1+1*E9</f>
        <v>1.3</v>
      </c>
      <c r="G117" s="124"/>
      <c r="H117" s="124"/>
      <c r="I117" s="9"/>
      <c r="J117" s="9"/>
      <c r="K117" s="9"/>
      <c r="L117" s="9"/>
      <c r="M117" s="9"/>
      <c r="N117" s="9"/>
      <c r="O117" s="9"/>
      <c r="P117" s="9"/>
      <c r="AC117" s="17"/>
      <c r="AF117" s="16"/>
      <c r="AI117" s="21"/>
      <c r="AJ117" s="21"/>
      <c r="AK117" s="21"/>
    </row>
    <row r="118" spans="1:37" x14ac:dyDescent="0.2">
      <c r="A118" s="9"/>
      <c r="B118" s="9"/>
      <c r="C118" s="122" t="s">
        <v>16</v>
      </c>
      <c r="D118" s="125">
        <f>MAX(D16:D115)</f>
        <v>105.56</v>
      </c>
      <c r="E118" s="126"/>
      <c r="F118" s="97">
        <f>1-1*E9</f>
        <v>0.7</v>
      </c>
      <c r="G118" s="124"/>
      <c r="H118" s="68"/>
      <c r="I118" s="9"/>
      <c r="J118" s="9"/>
      <c r="K118" s="9"/>
      <c r="L118" s="9"/>
      <c r="M118" s="9"/>
      <c r="N118" s="9"/>
      <c r="O118" s="9"/>
      <c r="P118" s="9"/>
      <c r="AC118" s="17"/>
      <c r="AF118" s="16"/>
      <c r="AI118" s="21"/>
      <c r="AJ118" s="21"/>
      <c r="AK118" s="21"/>
    </row>
    <row r="119" spans="1:37" x14ac:dyDescent="0.2">
      <c r="A119" s="9"/>
      <c r="B119" s="9"/>
      <c r="C119" s="127" t="s">
        <v>12</v>
      </c>
      <c r="D119" s="10">
        <f>COUNT(D16:D115)</f>
        <v>36</v>
      </c>
      <c r="E119" s="9"/>
      <c r="F119" s="9">
        <f>COUNTIF(F16:F115,"Au")+COUNTIFS(F16:F115,"Ao")</f>
        <v>0</v>
      </c>
      <c r="G119" s="124"/>
      <c r="H119" s="9">
        <f>COUNTIF(H16:H115,"Au")+COUNTIFS(H16:H115,"Ao")</f>
        <v>0</v>
      </c>
      <c r="I119" s="9"/>
      <c r="J119" s="9"/>
      <c r="K119" s="9"/>
      <c r="L119" s="9"/>
      <c r="M119" s="9"/>
      <c r="N119" s="9"/>
      <c r="O119" s="9"/>
      <c r="P119" s="9"/>
      <c r="AC119" s="17"/>
      <c r="AF119" s="16"/>
      <c r="AI119" s="21"/>
      <c r="AJ119" s="21"/>
      <c r="AK119" s="21"/>
    </row>
    <row r="120" spans="1:37" x14ac:dyDescent="0.2">
      <c r="A120" s="9"/>
      <c r="B120" s="9"/>
      <c r="C120" s="127"/>
      <c r="D120" s="10"/>
      <c r="E120" s="9"/>
      <c r="F120" s="64"/>
      <c r="G120" s="76"/>
      <c r="H120" s="68"/>
      <c r="I120" s="9"/>
      <c r="J120" s="9"/>
      <c r="K120" s="9"/>
      <c r="L120" s="9"/>
      <c r="M120" s="9"/>
      <c r="N120" s="9"/>
      <c r="O120" s="9"/>
      <c r="P120" s="9"/>
      <c r="AC120" s="17"/>
      <c r="AF120" s="16"/>
      <c r="AI120" s="21"/>
      <c r="AJ120" s="21"/>
      <c r="AK120" s="21"/>
    </row>
    <row r="121" spans="1:37" x14ac:dyDescent="0.2">
      <c r="A121" s="19" t="s">
        <v>93</v>
      </c>
      <c r="B121" s="9"/>
      <c r="C121" s="127"/>
      <c r="D121" s="10"/>
      <c r="E121" s="9"/>
      <c r="F121" s="64"/>
      <c r="G121" s="76"/>
      <c r="H121" s="68"/>
      <c r="I121" s="9"/>
      <c r="J121" s="9"/>
      <c r="K121" s="9"/>
      <c r="L121" s="9"/>
      <c r="M121" s="9"/>
      <c r="N121" s="9"/>
      <c r="O121" s="9"/>
      <c r="P121" s="9"/>
      <c r="AC121" s="17"/>
      <c r="AF121" s="16"/>
      <c r="AI121" s="21"/>
      <c r="AJ121" s="21"/>
      <c r="AK121" s="21"/>
    </row>
    <row r="122" spans="1:37" x14ac:dyDescent="0.2">
      <c r="A122" s="19" t="s">
        <v>85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37" x14ac:dyDescent="0.2">
      <c r="A123" s="19" t="s">
        <v>86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37" x14ac:dyDescent="0.2">
      <c r="A124" s="19" t="s">
        <v>87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37" x14ac:dyDescent="0.2">
      <c r="A125" s="19" t="s">
        <v>88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37" x14ac:dyDescent="0.2">
      <c r="A126" s="19" t="s">
        <v>89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37" x14ac:dyDescent="0.2">
      <c r="A127" s="19" t="s">
        <v>90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37" x14ac:dyDescent="0.2">
      <c r="A128" s="19" t="s">
        <v>92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 x14ac:dyDescent="0.2">
      <c r="A129" s="19" t="s">
        <v>91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1" spans="1:16" x14ac:dyDescent="0.2">
      <c r="C131" s="87"/>
    </row>
    <row r="132" spans="1:16" x14ac:dyDescent="0.2">
      <c r="C132" s="87"/>
    </row>
    <row r="133" spans="1:16" x14ac:dyDescent="0.2">
      <c r="C133" s="87"/>
    </row>
  </sheetData>
  <sheetProtection sheet="1" selectLockedCells="1"/>
  <sortState ref="B19:D55">
    <sortCondition ref="B20:B56"/>
  </sortState>
  <mergeCells count="11">
    <mergeCell ref="E10:I10"/>
    <mergeCell ref="E11:I11"/>
    <mergeCell ref="E12:I12"/>
    <mergeCell ref="E13:I13"/>
    <mergeCell ref="E3:I3"/>
    <mergeCell ref="E4:I4"/>
    <mergeCell ref="E5:I5"/>
    <mergeCell ref="E6:I6"/>
    <mergeCell ref="E7:I7"/>
    <mergeCell ref="E8:I8"/>
    <mergeCell ref="E9:I9"/>
  </mergeCells>
  <conditionalFormatting sqref="O20">
    <cfRule type="cellIs" dxfId="3" priority="3" operator="equal">
      <formula>"nicht gleichwertig"</formula>
    </cfRule>
    <cfRule type="cellIs" dxfId="2" priority="4" operator="equal">
      <formula>"gleichwertig"</formula>
    </cfRule>
  </conditionalFormatting>
  <conditionalFormatting sqref="O66">
    <cfRule type="cellIs" dxfId="1" priority="1" operator="equal">
      <formula>"nicht gleichwertig"</formula>
    </cfRule>
    <cfRule type="cellIs" dxfId="0" priority="2" operator="equal">
      <formula>"gleichwertig"</formula>
    </cfRule>
  </conditionalFormatting>
  <dataValidations count="1">
    <dataValidation type="list" allowBlank="1" showInputMessage="1" showErrorMessage="1" prompt="Auswahl" sqref="O61">
      <formula1>"Maximum,Median"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ignoredErrors>
    <ignoredError sqref="D15 J44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3"/>
  <sheetViews>
    <sheetView workbookViewId="0">
      <selection activeCell="D41" sqref="D41"/>
    </sheetView>
  </sheetViews>
  <sheetFormatPr baseColWidth="10" defaultColWidth="11.5" defaultRowHeight="12.9" x14ac:dyDescent="0.2"/>
  <cols>
    <col min="1" max="23" width="11.5" style="144"/>
    <col min="24" max="24" width="17.125" style="144" customWidth="1"/>
    <col min="25" max="16384" width="11.5" style="144"/>
  </cols>
  <sheetData>
    <row r="1" spans="1:36" ht="13.6" x14ac:dyDescent="0.25">
      <c r="A1" s="143" t="s">
        <v>107</v>
      </c>
      <c r="W1" s="145"/>
      <c r="Y1" s="146"/>
      <c r="AD1" s="145"/>
      <c r="AJ1" s="145"/>
    </row>
    <row r="2" spans="1:36" ht="13.6" x14ac:dyDescent="0.25">
      <c r="A2" s="147" t="s">
        <v>94</v>
      </c>
      <c r="W2" s="145"/>
      <c r="Y2" s="146"/>
      <c r="AD2" s="145"/>
      <c r="AJ2" s="145"/>
    </row>
    <row r="3" spans="1:36" x14ac:dyDescent="0.2">
      <c r="W3" s="145"/>
      <c r="Y3" s="146"/>
      <c r="AD3" s="145"/>
      <c r="AJ3" s="145"/>
    </row>
    <row r="4" spans="1:36" ht="13.6" x14ac:dyDescent="0.25">
      <c r="A4" s="148"/>
      <c r="B4" s="149"/>
      <c r="C4" s="149"/>
      <c r="D4" s="143" t="s">
        <v>103</v>
      </c>
      <c r="H4" s="143" t="s">
        <v>104</v>
      </c>
      <c r="L4" s="143" t="s">
        <v>105</v>
      </c>
      <c r="W4" s="145"/>
      <c r="Y4" s="146"/>
      <c r="AD4" s="145"/>
      <c r="AJ4" s="145"/>
    </row>
    <row r="5" spans="1:36" x14ac:dyDescent="0.2">
      <c r="A5" s="150" t="s">
        <v>23</v>
      </c>
      <c r="B5" s="151"/>
      <c r="C5" s="149"/>
      <c r="D5" s="145" t="s">
        <v>95</v>
      </c>
      <c r="H5" s="145" t="s">
        <v>95</v>
      </c>
      <c r="L5" s="145" t="s">
        <v>95</v>
      </c>
      <c r="W5" s="145"/>
      <c r="Y5" s="146"/>
      <c r="AD5" s="145"/>
      <c r="AJ5" s="145"/>
    </row>
    <row r="6" spans="1:36" x14ac:dyDescent="0.2">
      <c r="A6" s="150" t="s">
        <v>24</v>
      </c>
      <c r="B6" s="151"/>
      <c r="C6" s="149"/>
      <c r="D6" s="144" t="s">
        <v>96</v>
      </c>
      <c r="H6" s="144" t="s">
        <v>96</v>
      </c>
      <c r="L6" s="144" t="s">
        <v>96</v>
      </c>
      <c r="W6" s="145"/>
      <c r="Y6" s="146"/>
      <c r="AD6" s="145"/>
      <c r="AJ6" s="145"/>
    </row>
    <row r="7" spans="1:36" x14ac:dyDescent="0.2">
      <c r="A7" s="150" t="s">
        <v>25</v>
      </c>
      <c r="B7" s="151"/>
      <c r="C7" s="149"/>
      <c r="D7" s="144" t="s">
        <v>97</v>
      </c>
      <c r="H7" s="145" t="s">
        <v>108</v>
      </c>
      <c r="L7" s="145" t="s">
        <v>108</v>
      </c>
      <c r="V7" s="145"/>
      <c r="W7" s="145"/>
      <c r="X7" s="146"/>
      <c r="Y7" s="152"/>
    </row>
    <row r="8" spans="1:36" x14ac:dyDescent="0.2">
      <c r="A8" s="150" t="s">
        <v>26</v>
      </c>
      <c r="B8" s="151"/>
      <c r="C8" s="149"/>
      <c r="D8" s="145" t="s">
        <v>98</v>
      </c>
      <c r="H8" s="145" t="s">
        <v>98</v>
      </c>
      <c r="L8" s="145" t="s">
        <v>98</v>
      </c>
      <c r="Q8" s="145"/>
      <c r="R8" s="145"/>
      <c r="S8" s="145"/>
      <c r="V8" s="152"/>
      <c r="W8" s="145"/>
      <c r="X8" s="146"/>
      <c r="Y8" s="152"/>
      <c r="AB8" s="145"/>
      <c r="AC8" s="145"/>
    </row>
    <row r="9" spans="1:36" x14ac:dyDescent="0.2">
      <c r="A9" s="150" t="s">
        <v>30</v>
      </c>
      <c r="B9" s="151"/>
      <c r="C9" s="149"/>
      <c r="D9" s="144" t="s">
        <v>99</v>
      </c>
      <c r="H9" s="144" t="s">
        <v>99</v>
      </c>
      <c r="L9" s="145" t="s">
        <v>100</v>
      </c>
      <c r="Q9" s="145"/>
      <c r="R9" s="145"/>
      <c r="S9" s="145"/>
      <c r="U9" s="145"/>
      <c r="V9" s="152"/>
      <c r="W9" s="145"/>
      <c r="X9" s="152"/>
      <c r="Y9" s="153"/>
      <c r="AB9" s="145"/>
      <c r="AC9" s="145"/>
    </row>
    <row r="10" spans="1:36" x14ac:dyDescent="0.2">
      <c r="A10" s="150" t="s">
        <v>31</v>
      </c>
      <c r="B10" s="151"/>
      <c r="C10" s="149"/>
      <c r="D10" s="144" t="s">
        <v>101</v>
      </c>
      <c r="H10" s="144" t="s">
        <v>101</v>
      </c>
      <c r="L10" s="144" t="s">
        <v>101</v>
      </c>
      <c r="Q10" s="154"/>
      <c r="R10" s="154"/>
      <c r="V10" s="155"/>
      <c r="W10" s="154"/>
      <c r="X10" s="156"/>
      <c r="Y10" s="155"/>
      <c r="AB10" s="157"/>
      <c r="AC10" s="157"/>
    </row>
    <row r="11" spans="1:36" x14ac:dyDescent="0.2">
      <c r="A11" s="158" t="s">
        <v>102</v>
      </c>
      <c r="B11" s="151"/>
      <c r="C11" s="149"/>
      <c r="D11" s="159">
        <v>0.1</v>
      </c>
      <c r="H11" s="159">
        <v>0.1</v>
      </c>
      <c r="L11" s="159">
        <v>0.1</v>
      </c>
      <c r="Q11" s="154"/>
      <c r="R11" s="154"/>
      <c r="V11" s="155"/>
      <c r="W11" s="154"/>
      <c r="X11" s="156"/>
      <c r="Y11" s="155"/>
      <c r="AB11" s="157"/>
      <c r="AC11" s="157"/>
    </row>
    <row r="12" spans="1:36" x14ac:dyDescent="0.2">
      <c r="G12" s="152"/>
      <c r="H12" s="145"/>
      <c r="I12" s="145"/>
      <c r="K12" s="152"/>
      <c r="L12" s="145"/>
      <c r="M12" s="145"/>
      <c r="N12" s="145"/>
      <c r="Q12" s="154"/>
      <c r="R12" s="154"/>
      <c r="V12" s="155"/>
      <c r="W12" s="154"/>
      <c r="X12" s="156"/>
      <c r="Y12" s="155"/>
      <c r="AB12" s="157"/>
      <c r="AC12" s="157"/>
    </row>
    <row r="13" spans="1:36" x14ac:dyDescent="0.2">
      <c r="C13" s="160" t="s">
        <v>20</v>
      </c>
      <c r="D13" s="161" t="s">
        <v>21</v>
      </c>
      <c r="E13" s="161" t="s">
        <v>22</v>
      </c>
      <c r="G13" s="160" t="s">
        <v>20</v>
      </c>
      <c r="H13" s="161" t="s">
        <v>21</v>
      </c>
      <c r="I13" s="161" t="s">
        <v>22</v>
      </c>
      <c r="K13" s="160" t="s">
        <v>20</v>
      </c>
      <c r="L13" s="161" t="s">
        <v>21</v>
      </c>
      <c r="M13" s="161" t="s">
        <v>22</v>
      </c>
      <c r="N13" s="145"/>
      <c r="Q13" s="154"/>
      <c r="R13" s="154"/>
      <c r="U13" s="145"/>
      <c r="V13" s="155"/>
      <c r="W13" s="154"/>
      <c r="X13" s="156"/>
      <c r="Y13" s="155"/>
      <c r="AB13" s="157"/>
      <c r="AC13" s="157"/>
    </row>
    <row r="14" spans="1:36" x14ac:dyDescent="0.2">
      <c r="C14" s="144">
        <v>1</v>
      </c>
      <c r="D14" s="144">
        <v>5.96</v>
      </c>
      <c r="E14" s="144">
        <v>5.63</v>
      </c>
      <c r="G14" s="144">
        <v>1</v>
      </c>
      <c r="H14" s="144">
        <v>5.96</v>
      </c>
      <c r="I14" s="144">
        <v>7.5</v>
      </c>
      <c r="K14" s="144">
        <v>1</v>
      </c>
      <c r="L14" s="144">
        <v>65.3</v>
      </c>
      <c r="M14" s="144">
        <v>65.5</v>
      </c>
      <c r="Q14" s="154"/>
      <c r="R14" s="154"/>
      <c r="S14" s="145"/>
      <c r="V14" s="155"/>
      <c r="W14" s="154"/>
      <c r="X14" s="156"/>
      <c r="Y14" s="155"/>
      <c r="AB14" s="157"/>
      <c r="AC14" s="157"/>
    </row>
    <row r="15" spans="1:36" x14ac:dyDescent="0.2">
      <c r="C15" s="144">
        <v>2</v>
      </c>
      <c r="D15" s="144">
        <v>7.88</v>
      </c>
      <c r="E15" s="144">
        <v>7.19</v>
      </c>
      <c r="G15" s="144">
        <v>2</v>
      </c>
      <c r="H15" s="144">
        <v>7.88</v>
      </c>
      <c r="I15" s="144">
        <v>9.01</v>
      </c>
      <c r="K15" s="144">
        <v>2</v>
      </c>
      <c r="L15" s="144">
        <v>77</v>
      </c>
      <c r="M15" s="144">
        <v>73.900000000000006</v>
      </c>
      <c r="Q15" s="154"/>
      <c r="R15" s="154"/>
      <c r="V15" s="155"/>
      <c r="W15" s="154"/>
      <c r="X15" s="156"/>
      <c r="Y15" s="155"/>
      <c r="AB15" s="157"/>
      <c r="AC15" s="157"/>
    </row>
    <row r="16" spans="1:36" x14ac:dyDescent="0.2">
      <c r="C16" s="144">
        <v>3</v>
      </c>
      <c r="D16" s="144">
        <v>8.94</v>
      </c>
      <c r="E16" s="144">
        <v>8.51</v>
      </c>
      <c r="G16" s="144">
        <v>3</v>
      </c>
      <c r="H16" s="144">
        <v>8.94</v>
      </c>
      <c r="I16" s="144">
        <v>10.199999999999999</v>
      </c>
      <c r="K16" s="144">
        <v>3</v>
      </c>
      <c r="L16" s="144">
        <v>74.7</v>
      </c>
      <c r="M16" s="144">
        <v>72.7</v>
      </c>
      <c r="Q16" s="154"/>
      <c r="R16" s="154"/>
      <c r="V16" s="155"/>
      <c r="W16" s="154"/>
      <c r="X16" s="156"/>
      <c r="Y16" s="155"/>
      <c r="AB16" s="157"/>
      <c r="AC16" s="157"/>
    </row>
    <row r="17" spans="3:29" x14ac:dyDescent="0.2">
      <c r="C17" s="144">
        <v>4</v>
      </c>
      <c r="D17" s="144">
        <v>8.9700000000000006</v>
      </c>
      <c r="E17" s="144">
        <v>9.02</v>
      </c>
      <c r="G17" s="144">
        <v>4</v>
      </c>
      <c r="H17" s="144">
        <v>8.9700000000000006</v>
      </c>
      <c r="I17" s="144">
        <v>10.8</v>
      </c>
      <c r="K17" s="144">
        <v>4</v>
      </c>
      <c r="L17" s="144">
        <v>96.7</v>
      </c>
      <c r="M17" s="144">
        <v>94.2</v>
      </c>
      <c r="Q17" s="154"/>
      <c r="R17" s="154"/>
      <c r="V17" s="155"/>
      <c r="W17" s="154"/>
      <c r="X17" s="156"/>
      <c r="Y17" s="155"/>
      <c r="AB17" s="157"/>
      <c r="AC17" s="157"/>
    </row>
    <row r="18" spans="3:29" x14ac:dyDescent="0.2">
      <c r="C18" s="144">
        <v>5</v>
      </c>
      <c r="D18" s="144">
        <v>10.4</v>
      </c>
      <c r="E18" s="144">
        <v>10.4</v>
      </c>
      <c r="G18" s="144">
        <v>5</v>
      </c>
      <c r="H18" s="144">
        <v>10.4</v>
      </c>
      <c r="I18" s="144">
        <v>12.1</v>
      </c>
      <c r="K18" s="144">
        <v>5</v>
      </c>
      <c r="L18" s="144">
        <v>98.8</v>
      </c>
      <c r="M18" s="144">
        <v>96.4</v>
      </c>
      <c r="Q18" s="154"/>
      <c r="R18" s="154"/>
      <c r="V18" s="155"/>
      <c r="W18" s="154"/>
      <c r="X18" s="156"/>
      <c r="Y18" s="155"/>
      <c r="AB18" s="157"/>
      <c r="AC18" s="157"/>
    </row>
    <row r="19" spans="3:29" x14ac:dyDescent="0.2">
      <c r="C19" s="144">
        <v>6</v>
      </c>
      <c r="D19" s="144">
        <v>11.3</v>
      </c>
      <c r="E19" s="144">
        <v>10.7</v>
      </c>
      <c r="G19" s="144">
        <v>6</v>
      </c>
      <c r="H19" s="144">
        <v>11.3</v>
      </c>
      <c r="I19" s="144">
        <v>12.3</v>
      </c>
      <c r="K19" s="144">
        <v>6</v>
      </c>
      <c r="L19" s="144">
        <v>136</v>
      </c>
      <c r="M19" s="144">
        <v>138</v>
      </c>
      <c r="Q19" s="154"/>
      <c r="R19" s="154"/>
      <c r="V19" s="155"/>
      <c r="W19" s="154"/>
      <c r="X19" s="156"/>
      <c r="Y19" s="155"/>
      <c r="AB19" s="157"/>
      <c r="AC19" s="157"/>
    </row>
    <row r="20" spans="3:29" x14ac:dyDescent="0.2">
      <c r="C20" s="144">
        <v>7</v>
      </c>
      <c r="D20" s="144">
        <v>11.9</v>
      </c>
      <c r="E20" s="144">
        <v>9.8000000000000007</v>
      </c>
      <c r="G20" s="144">
        <v>7</v>
      </c>
      <c r="H20" s="144">
        <v>11.9</v>
      </c>
      <c r="I20" s="144">
        <v>11.6</v>
      </c>
      <c r="K20" s="144">
        <v>7</v>
      </c>
      <c r="L20" s="144">
        <v>144</v>
      </c>
      <c r="M20" s="144">
        <v>143</v>
      </c>
      <c r="Q20" s="154"/>
      <c r="R20" s="154"/>
      <c r="V20" s="155"/>
      <c r="W20" s="154"/>
      <c r="X20" s="156"/>
      <c r="Y20" s="155"/>
      <c r="AB20" s="157"/>
      <c r="AC20" s="157"/>
    </row>
    <row r="21" spans="3:29" x14ac:dyDescent="0.2">
      <c r="C21" s="144">
        <v>8</v>
      </c>
      <c r="D21" s="144">
        <v>15.5</v>
      </c>
      <c r="E21" s="144">
        <v>16.7</v>
      </c>
      <c r="G21" s="144">
        <v>8</v>
      </c>
      <c r="H21" s="144">
        <v>15.5</v>
      </c>
      <c r="I21" s="144">
        <v>18.100000000000001</v>
      </c>
      <c r="K21" s="144">
        <v>8</v>
      </c>
      <c r="L21" s="144">
        <v>163</v>
      </c>
      <c r="M21" s="144">
        <v>166</v>
      </c>
      <c r="AB21" s="157"/>
      <c r="AC21" s="157"/>
    </row>
    <row r="22" spans="3:29" x14ac:dyDescent="0.2">
      <c r="C22" s="144">
        <v>9</v>
      </c>
      <c r="D22" s="144">
        <v>19.600000000000001</v>
      </c>
      <c r="E22" s="144">
        <v>18.8</v>
      </c>
      <c r="G22" s="144">
        <v>9</v>
      </c>
      <c r="H22" s="144">
        <v>19.600000000000001</v>
      </c>
      <c r="I22" s="144">
        <v>20.100000000000001</v>
      </c>
      <c r="K22" s="144">
        <v>9</v>
      </c>
      <c r="L22" s="144">
        <v>180</v>
      </c>
      <c r="M22" s="144">
        <v>184</v>
      </c>
      <c r="AB22" s="157"/>
      <c r="AC22" s="157"/>
    </row>
    <row r="23" spans="3:29" x14ac:dyDescent="0.2">
      <c r="C23" s="144">
        <v>10</v>
      </c>
      <c r="D23" s="144">
        <v>20.3</v>
      </c>
      <c r="E23" s="144">
        <v>18.5</v>
      </c>
      <c r="G23" s="144">
        <v>10</v>
      </c>
      <c r="H23" s="144">
        <v>20.3</v>
      </c>
      <c r="I23" s="144">
        <v>19.8</v>
      </c>
      <c r="K23" s="144">
        <v>10</v>
      </c>
      <c r="L23" s="144">
        <v>189</v>
      </c>
      <c r="M23" s="144">
        <v>197</v>
      </c>
      <c r="AB23" s="157"/>
      <c r="AC23" s="157"/>
    </row>
    <row r="24" spans="3:29" x14ac:dyDescent="0.2">
      <c r="C24" s="144">
        <v>11</v>
      </c>
      <c r="D24" s="144">
        <v>20.6</v>
      </c>
      <c r="E24" s="144">
        <v>19.8</v>
      </c>
      <c r="G24" s="144">
        <v>11</v>
      </c>
      <c r="H24" s="144">
        <v>20.6</v>
      </c>
      <c r="I24" s="144">
        <v>21.2</v>
      </c>
      <c r="K24" s="144">
        <v>11</v>
      </c>
      <c r="L24" s="144">
        <v>199</v>
      </c>
      <c r="M24" s="144">
        <v>194</v>
      </c>
      <c r="AB24" s="157"/>
      <c r="AC24" s="157"/>
    </row>
    <row r="25" spans="3:29" x14ac:dyDescent="0.2">
      <c r="C25" s="144">
        <v>12</v>
      </c>
      <c r="D25" s="144">
        <v>21</v>
      </c>
      <c r="E25" s="144">
        <v>20.7</v>
      </c>
      <c r="G25" s="144">
        <v>12</v>
      </c>
      <c r="H25" s="144">
        <v>21</v>
      </c>
      <c r="I25" s="144">
        <v>22</v>
      </c>
      <c r="K25" s="144">
        <v>12</v>
      </c>
      <c r="L25" s="144">
        <v>223</v>
      </c>
      <c r="M25" s="144">
        <v>216</v>
      </c>
      <c r="AB25" s="157"/>
      <c r="AC25" s="157"/>
    </row>
    <row r="26" spans="3:29" x14ac:dyDescent="0.2">
      <c r="C26" s="144">
        <v>13</v>
      </c>
      <c r="D26" s="144">
        <v>21.6</v>
      </c>
      <c r="E26" s="144">
        <v>20</v>
      </c>
      <c r="G26" s="144">
        <v>13</v>
      </c>
      <c r="H26" s="144">
        <v>21.6</v>
      </c>
      <c r="I26" s="144">
        <v>21.4</v>
      </c>
      <c r="K26" s="144">
        <v>13</v>
      </c>
      <c r="L26" s="144">
        <v>256</v>
      </c>
      <c r="M26" s="144">
        <v>265</v>
      </c>
      <c r="AB26" s="157"/>
      <c r="AC26" s="157"/>
    </row>
    <row r="27" spans="3:29" x14ac:dyDescent="0.2">
      <c r="C27" s="144">
        <v>14</v>
      </c>
      <c r="D27" s="144">
        <v>22.8</v>
      </c>
      <c r="E27" s="144">
        <v>21.4</v>
      </c>
      <c r="G27" s="144">
        <v>14</v>
      </c>
      <c r="H27" s="144">
        <v>22.8</v>
      </c>
      <c r="I27" s="144">
        <v>22.8</v>
      </c>
      <c r="K27" s="144">
        <v>14</v>
      </c>
      <c r="L27" s="144">
        <v>275</v>
      </c>
      <c r="M27" s="144">
        <v>280</v>
      </c>
      <c r="AB27" s="157"/>
      <c r="AC27" s="157"/>
    </row>
    <row r="28" spans="3:29" x14ac:dyDescent="0.2">
      <c r="C28" s="144">
        <v>15</v>
      </c>
      <c r="D28" s="144">
        <v>23.2</v>
      </c>
      <c r="E28" s="144">
        <v>22.9</v>
      </c>
      <c r="G28" s="144">
        <v>15</v>
      </c>
      <c r="H28" s="144">
        <v>23.2</v>
      </c>
      <c r="I28" s="144">
        <v>24.2</v>
      </c>
      <c r="K28" s="144">
        <v>15</v>
      </c>
      <c r="L28" s="144">
        <v>277</v>
      </c>
      <c r="M28" s="144">
        <v>306</v>
      </c>
      <c r="AB28" s="157"/>
      <c r="AC28" s="157"/>
    </row>
    <row r="29" spans="3:29" x14ac:dyDescent="0.2">
      <c r="C29" s="144">
        <v>16</v>
      </c>
      <c r="D29" s="144">
        <v>24.4</v>
      </c>
      <c r="E29" s="144">
        <v>25.1</v>
      </c>
      <c r="G29" s="144">
        <v>16</v>
      </c>
      <c r="H29" s="144">
        <v>24.4</v>
      </c>
      <c r="I29" s="144">
        <v>26.5</v>
      </c>
      <c r="K29" s="144">
        <v>16</v>
      </c>
      <c r="L29" s="144">
        <v>282</v>
      </c>
      <c r="M29" s="144">
        <v>297</v>
      </c>
      <c r="AB29" s="157"/>
      <c r="AC29" s="157"/>
    </row>
    <row r="30" spans="3:29" x14ac:dyDescent="0.2">
      <c r="C30" s="144">
        <v>17</v>
      </c>
      <c r="D30" s="144">
        <v>27</v>
      </c>
      <c r="E30" s="144">
        <v>27.9</v>
      </c>
      <c r="G30" s="144">
        <v>17</v>
      </c>
      <c r="H30" s="144">
        <v>27</v>
      </c>
      <c r="I30" s="144">
        <v>29.3</v>
      </c>
      <c r="K30" s="144">
        <v>17</v>
      </c>
      <c r="L30" s="144">
        <v>290</v>
      </c>
      <c r="M30" s="144">
        <v>306</v>
      </c>
      <c r="AB30" s="157"/>
      <c r="AC30" s="157"/>
    </row>
    <row r="31" spans="3:29" x14ac:dyDescent="0.2">
      <c r="C31" s="144">
        <v>18</v>
      </c>
      <c r="D31" s="144">
        <v>29.3</v>
      </c>
      <c r="E31" s="144">
        <v>27.1</v>
      </c>
      <c r="G31" s="144">
        <v>18</v>
      </c>
      <c r="H31" s="144">
        <v>29.3</v>
      </c>
      <c r="I31" s="144">
        <v>28.5</v>
      </c>
      <c r="K31" s="144">
        <v>18</v>
      </c>
      <c r="L31" s="144">
        <v>319</v>
      </c>
      <c r="M31" s="144">
        <v>326</v>
      </c>
      <c r="AB31" s="157"/>
      <c r="AC31" s="157"/>
    </row>
    <row r="32" spans="3:29" x14ac:dyDescent="0.2">
      <c r="C32" s="144">
        <v>19</v>
      </c>
      <c r="D32" s="144">
        <v>29.9</v>
      </c>
      <c r="E32" s="144">
        <v>28</v>
      </c>
      <c r="G32" s="144">
        <v>19</v>
      </c>
      <c r="H32" s="144">
        <v>29.9</v>
      </c>
      <c r="I32" s="144">
        <v>28.2</v>
      </c>
      <c r="K32" s="144">
        <v>19</v>
      </c>
      <c r="L32" s="144">
        <v>326</v>
      </c>
      <c r="M32" s="144">
        <v>340</v>
      </c>
      <c r="AB32" s="157"/>
      <c r="AC32" s="157"/>
    </row>
    <row r="33" spans="3:40" x14ac:dyDescent="0.2">
      <c r="C33" s="144">
        <v>20</v>
      </c>
      <c r="D33" s="144">
        <v>31.4</v>
      </c>
      <c r="E33" s="144">
        <v>32.200000000000003</v>
      </c>
      <c r="G33" s="144">
        <v>20</v>
      </c>
      <c r="H33" s="144">
        <v>31.4</v>
      </c>
      <c r="I33" s="144">
        <v>33.700000000000003</v>
      </c>
      <c r="K33" s="144">
        <v>20</v>
      </c>
      <c r="L33" s="144">
        <v>368</v>
      </c>
      <c r="M33" s="144">
        <v>395</v>
      </c>
      <c r="AB33" s="157"/>
      <c r="AC33" s="157"/>
    </row>
    <row r="34" spans="3:40" x14ac:dyDescent="0.2">
      <c r="C34" s="144">
        <v>21</v>
      </c>
      <c r="D34" s="144">
        <v>31.5</v>
      </c>
      <c r="E34" s="144">
        <v>32.9</v>
      </c>
      <c r="G34" s="144">
        <v>21</v>
      </c>
      <c r="H34" s="144">
        <v>31.5</v>
      </c>
      <c r="I34" s="144">
        <v>34.299999999999997</v>
      </c>
      <c r="K34" s="144">
        <v>21</v>
      </c>
      <c r="L34" s="144">
        <v>369</v>
      </c>
      <c r="M34" s="144">
        <v>390</v>
      </c>
      <c r="AB34" s="157"/>
      <c r="AC34" s="157"/>
    </row>
    <row r="35" spans="3:40" x14ac:dyDescent="0.2">
      <c r="C35" s="144">
        <v>22</v>
      </c>
      <c r="D35" s="144">
        <v>32.700000000000003</v>
      </c>
      <c r="E35" s="144">
        <v>32.700000000000003</v>
      </c>
      <c r="G35" s="144">
        <v>22</v>
      </c>
      <c r="H35" s="144">
        <v>32.700000000000003</v>
      </c>
      <c r="I35" s="144">
        <v>34.200000000000003</v>
      </c>
      <c r="K35" s="144">
        <v>22</v>
      </c>
      <c r="L35" s="144">
        <v>389</v>
      </c>
      <c r="M35" s="144">
        <v>406</v>
      </c>
      <c r="AB35" s="157"/>
      <c r="AC35" s="157"/>
    </row>
    <row r="36" spans="3:40" x14ac:dyDescent="0.2">
      <c r="C36" s="144">
        <v>23</v>
      </c>
      <c r="D36" s="144">
        <v>35.4</v>
      </c>
      <c r="E36" s="144">
        <v>34.299999999999997</v>
      </c>
      <c r="G36" s="144">
        <v>23</v>
      </c>
      <c r="H36" s="144">
        <v>35.4</v>
      </c>
      <c r="I36" s="144">
        <v>35.700000000000003</v>
      </c>
      <c r="K36" s="144">
        <v>23</v>
      </c>
      <c r="L36" s="144">
        <v>399</v>
      </c>
      <c r="M36" s="144">
        <v>443</v>
      </c>
      <c r="AB36" s="157"/>
      <c r="AC36" s="157"/>
    </row>
    <row r="37" spans="3:40" x14ac:dyDescent="0.2">
      <c r="C37" s="144">
        <v>24</v>
      </c>
      <c r="D37" s="144">
        <v>36.700000000000003</v>
      </c>
      <c r="E37" s="144">
        <v>35.4</v>
      </c>
      <c r="G37" s="144">
        <v>24</v>
      </c>
      <c r="H37" s="144">
        <v>36.700000000000003</v>
      </c>
      <c r="I37" s="144">
        <v>37</v>
      </c>
      <c r="K37" s="144">
        <v>24</v>
      </c>
      <c r="L37" s="144">
        <v>409</v>
      </c>
      <c r="M37" s="144">
        <v>477</v>
      </c>
      <c r="AC37" s="157"/>
      <c r="AD37" s="157"/>
    </row>
    <row r="38" spans="3:40" x14ac:dyDescent="0.2">
      <c r="C38" s="144">
        <v>25</v>
      </c>
      <c r="D38" s="144">
        <v>39.1</v>
      </c>
      <c r="E38" s="144">
        <v>40</v>
      </c>
      <c r="G38" s="144">
        <v>25</v>
      </c>
      <c r="H38" s="144">
        <v>39.1</v>
      </c>
      <c r="I38" s="144">
        <v>41.6</v>
      </c>
      <c r="K38" s="144">
        <v>25</v>
      </c>
      <c r="L38" s="144">
        <v>433</v>
      </c>
      <c r="M38" s="144">
        <v>477</v>
      </c>
      <c r="AC38" s="157"/>
      <c r="AD38" s="157"/>
    </row>
    <row r="39" spans="3:40" x14ac:dyDescent="0.2">
      <c r="C39" s="144">
        <v>26</v>
      </c>
      <c r="D39" s="144">
        <v>39.299999999999997</v>
      </c>
      <c r="E39" s="144">
        <v>39.6</v>
      </c>
      <c r="G39" s="144">
        <v>26</v>
      </c>
      <c r="H39" s="144">
        <v>39.299999999999997</v>
      </c>
      <c r="I39" s="144">
        <v>41</v>
      </c>
      <c r="K39" s="144">
        <v>26</v>
      </c>
      <c r="L39" s="144">
        <v>444</v>
      </c>
      <c r="M39" s="144">
        <v>484</v>
      </c>
      <c r="AE39" s="157"/>
      <c r="AF39" s="157"/>
    </row>
    <row r="40" spans="3:40" x14ac:dyDescent="0.2">
      <c r="C40" s="144">
        <v>27</v>
      </c>
      <c r="D40" s="144">
        <v>39.4</v>
      </c>
      <c r="E40" s="144">
        <v>40.1</v>
      </c>
      <c r="G40" s="144">
        <v>27</v>
      </c>
      <c r="H40" s="144">
        <v>39.4</v>
      </c>
      <c r="I40" s="144">
        <v>41.7</v>
      </c>
      <c r="K40" s="144">
        <v>27</v>
      </c>
      <c r="L40" s="144">
        <v>447</v>
      </c>
      <c r="M40" s="144">
        <v>495</v>
      </c>
      <c r="AE40" s="157"/>
      <c r="AF40" s="157"/>
    </row>
    <row r="41" spans="3:40" x14ac:dyDescent="0.2">
      <c r="C41" s="144">
        <v>28</v>
      </c>
      <c r="D41" s="144">
        <v>40.299999999999997</v>
      </c>
      <c r="E41" s="144">
        <v>40.5</v>
      </c>
      <c r="G41" s="144">
        <v>28</v>
      </c>
      <c r="H41" s="144">
        <v>40.299999999999997</v>
      </c>
      <c r="I41" s="144">
        <v>42.1</v>
      </c>
      <c r="K41" s="144">
        <v>28</v>
      </c>
      <c r="L41" s="144">
        <v>461</v>
      </c>
      <c r="M41" s="144">
        <v>520</v>
      </c>
      <c r="AM41" s="157"/>
      <c r="AN41" s="157"/>
    </row>
    <row r="42" spans="3:40" x14ac:dyDescent="0.2">
      <c r="C42" s="144">
        <v>29</v>
      </c>
      <c r="D42" s="144">
        <v>42.6</v>
      </c>
      <c r="E42" s="145">
        <v>44.7</v>
      </c>
      <c r="G42" s="144">
        <v>29</v>
      </c>
      <c r="H42" s="144">
        <v>42.6</v>
      </c>
      <c r="I42" s="145">
        <v>46.3</v>
      </c>
      <c r="K42" s="144">
        <v>29</v>
      </c>
      <c r="L42" s="144">
        <v>468</v>
      </c>
      <c r="M42" s="144">
        <v>510</v>
      </c>
    </row>
    <row r="43" spans="3:40" x14ac:dyDescent="0.2">
      <c r="C43" s="144">
        <v>30</v>
      </c>
      <c r="D43" s="144">
        <v>44.3</v>
      </c>
      <c r="E43" s="145">
        <v>41.9</v>
      </c>
      <c r="G43" s="144">
        <v>30</v>
      </c>
      <c r="H43" s="144">
        <v>44.3</v>
      </c>
      <c r="I43" s="145">
        <v>43.6</v>
      </c>
      <c r="K43" s="144">
        <v>30</v>
      </c>
      <c r="L43" s="144">
        <v>474</v>
      </c>
      <c r="M43" s="144">
        <v>512</v>
      </c>
    </row>
    <row r="44" spans="3:40" x14ac:dyDescent="0.2">
      <c r="C44" s="144">
        <v>31</v>
      </c>
      <c r="D44" s="144">
        <v>45.3</v>
      </c>
      <c r="E44" s="145">
        <v>45.3</v>
      </c>
      <c r="G44" s="144">
        <v>31</v>
      </c>
      <c r="H44" s="144">
        <v>45.3</v>
      </c>
      <c r="I44" s="145">
        <v>46.7</v>
      </c>
    </row>
    <row r="45" spans="3:40" x14ac:dyDescent="0.2">
      <c r="C45" s="144">
        <v>32</v>
      </c>
      <c r="D45" s="144">
        <v>45.3</v>
      </c>
      <c r="E45" s="145">
        <v>44.8</v>
      </c>
      <c r="G45" s="144">
        <v>32</v>
      </c>
      <c r="H45" s="144">
        <v>45.3</v>
      </c>
      <c r="I45" s="145">
        <v>46.4</v>
      </c>
    </row>
    <row r="46" spans="3:40" x14ac:dyDescent="0.2">
      <c r="C46" s="144">
        <v>33</v>
      </c>
      <c r="D46" s="145">
        <v>46</v>
      </c>
      <c r="E46" s="145">
        <v>47.6</v>
      </c>
      <c r="G46" s="144">
        <v>33</v>
      </c>
      <c r="H46" s="145">
        <v>46</v>
      </c>
      <c r="I46" s="145">
        <v>49.2</v>
      </c>
    </row>
    <row r="47" spans="3:40" x14ac:dyDescent="0.2">
      <c r="C47" s="144">
        <v>34</v>
      </c>
      <c r="D47" s="145">
        <v>46.9</v>
      </c>
      <c r="E47" s="145">
        <v>47.6</v>
      </c>
      <c r="G47" s="144">
        <v>34</v>
      </c>
      <c r="H47" s="145">
        <v>46.9</v>
      </c>
      <c r="I47" s="145">
        <v>49.2</v>
      </c>
    </row>
    <row r="48" spans="3:40" x14ac:dyDescent="0.2">
      <c r="C48" s="144">
        <v>35</v>
      </c>
      <c r="D48" s="145">
        <v>49.5</v>
      </c>
      <c r="E48" s="145">
        <v>48.5</v>
      </c>
      <c r="G48" s="144">
        <v>35</v>
      </c>
      <c r="H48" s="145">
        <v>49.5</v>
      </c>
      <c r="I48" s="145">
        <v>49.9</v>
      </c>
    </row>
    <row r="51" spans="3:14" x14ac:dyDescent="0.2">
      <c r="C51" s="145"/>
      <c r="D51" s="162"/>
      <c r="E51" s="162"/>
      <c r="G51" s="145" t="s">
        <v>106</v>
      </c>
      <c r="H51" s="162"/>
      <c r="I51" s="162">
        <v>10</v>
      </c>
      <c r="K51" s="145" t="s">
        <v>106</v>
      </c>
      <c r="L51" s="162"/>
      <c r="M51" s="162">
        <v>10</v>
      </c>
      <c r="N51" s="162"/>
    </row>
    <row r="52" spans="3:14" x14ac:dyDescent="0.2">
      <c r="D52" s="162"/>
      <c r="E52" s="162"/>
    </row>
    <row r="53" spans="3:14" x14ac:dyDescent="0.2">
      <c r="D53" s="162"/>
      <c r="E53" s="162"/>
      <c r="G53" s="163"/>
      <c r="L53" s="163"/>
      <c r="M53" s="163"/>
      <c r="N53" s="163"/>
    </row>
    <row r="54" spans="3:14" x14ac:dyDescent="0.2">
      <c r="G54" s="163"/>
      <c r="L54" s="163"/>
      <c r="M54" s="163"/>
      <c r="N54" s="163"/>
    </row>
    <row r="55" spans="3:14" x14ac:dyDescent="0.2">
      <c r="G55" s="163"/>
      <c r="L55" s="163"/>
      <c r="M55" s="163"/>
      <c r="N55" s="163"/>
    </row>
    <row r="56" spans="3:14" x14ac:dyDescent="0.2">
      <c r="G56" s="163"/>
      <c r="L56" s="163"/>
      <c r="M56" s="163"/>
      <c r="N56" s="163"/>
    </row>
    <row r="63" spans="3:14" x14ac:dyDescent="0.2">
      <c r="C63" s="145"/>
    </row>
    <row r="65" spans="4:7" x14ac:dyDescent="0.2">
      <c r="D65" s="145"/>
    </row>
    <row r="67" spans="4:7" x14ac:dyDescent="0.2">
      <c r="D67" s="145"/>
    </row>
    <row r="68" spans="4:7" x14ac:dyDescent="0.2">
      <c r="D68" s="145"/>
      <c r="E68" s="145"/>
      <c r="G68" s="145"/>
    </row>
    <row r="76" spans="4:7" x14ac:dyDescent="0.2">
      <c r="D76" s="145"/>
    </row>
    <row r="77" spans="4:7" x14ac:dyDescent="0.2">
      <c r="D77" s="145"/>
      <c r="E77" s="145"/>
      <c r="G77" s="145"/>
    </row>
    <row r="78" spans="4:7" x14ac:dyDescent="0.2">
      <c r="D78" s="145"/>
    </row>
    <row r="79" spans="4:7" x14ac:dyDescent="0.2">
      <c r="D79" s="145"/>
    </row>
    <row r="80" spans="4:7" x14ac:dyDescent="0.2">
      <c r="D80" s="145"/>
    </row>
    <row r="81" spans="4:4" x14ac:dyDescent="0.2">
      <c r="D81" s="145"/>
    </row>
    <row r="82" spans="4:4" x14ac:dyDescent="0.2">
      <c r="D82" s="145"/>
    </row>
    <row r="83" spans="4:4" x14ac:dyDescent="0.2">
      <c r="D83" s="145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B15"/>
  <sheetViews>
    <sheetView workbookViewId="0">
      <selection activeCell="F17" sqref="F17"/>
    </sheetView>
  </sheetViews>
  <sheetFormatPr baseColWidth="10" defaultRowHeight="12.9" x14ac:dyDescent="0.2"/>
  <cols>
    <col min="1" max="1" width="11.5" style="2"/>
  </cols>
  <sheetData>
    <row r="1" spans="1:2" ht="13.6" x14ac:dyDescent="0.25">
      <c r="A1" s="3" t="s">
        <v>32</v>
      </c>
    </row>
    <row r="3" spans="1:2" x14ac:dyDescent="0.2">
      <c r="A3" s="2">
        <v>1</v>
      </c>
      <c r="B3" s="1" t="s">
        <v>33</v>
      </c>
    </row>
    <row r="4" spans="1:2" x14ac:dyDescent="0.2">
      <c r="A4" s="2">
        <v>2</v>
      </c>
      <c r="B4" s="1" t="s">
        <v>34</v>
      </c>
    </row>
    <row r="6" spans="1:2" x14ac:dyDescent="0.2">
      <c r="A6" s="2">
        <v>3</v>
      </c>
      <c r="B6" s="1" t="s">
        <v>37</v>
      </c>
    </row>
    <row r="7" spans="1:2" x14ac:dyDescent="0.2">
      <c r="A7" s="2">
        <v>4</v>
      </c>
      <c r="B7" s="1" t="s">
        <v>38</v>
      </c>
    </row>
    <row r="8" spans="1:2" x14ac:dyDescent="0.2">
      <c r="B8" s="1" t="s">
        <v>35</v>
      </c>
    </row>
    <row r="10" spans="1:2" x14ac:dyDescent="0.2">
      <c r="A10" s="2">
        <v>5</v>
      </c>
      <c r="B10" s="1" t="s">
        <v>0</v>
      </c>
    </row>
    <row r="11" spans="1:2" x14ac:dyDescent="0.2">
      <c r="B11" s="1" t="s">
        <v>36</v>
      </c>
    </row>
    <row r="12" spans="1:2" x14ac:dyDescent="0.2">
      <c r="B12" s="1" t="s">
        <v>39</v>
      </c>
    </row>
    <row r="14" spans="1:2" x14ac:dyDescent="0.2">
      <c r="B14" s="1"/>
    </row>
    <row r="15" spans="1:2" x14ac:dyDescent="0.2">
      <c r="B15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Bland-Altman-Diagramm</vt:lpstr>
      <vt:lpstr>Beispieldaten aus DIN 38402-71</vt:lpstr>
      <vt:lpstr>Anleitung</vt:lpstr>
      <vt:lpstr>'Bland-Altman-Diagramm'!Druckbereich</vt:lpstr>
    </vt:vector>
  </TitlesOfParts>
  <Company>Hessenwasser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sb_zla</dc:creator>
  <cp:lastModifiedBy>Claudia Gehrke</cp:lastModifiedBy>
  <cp:lastPrinted>2020-06-10T14:11:02Z</cp:lastPrinted>
  <dcterms:created xsi:type="dcterms:W3CDTF">2013-07-18T15:11:10Z</dcterms:created>
  <dcterms:modified xsi:type="dcterms:W3CDTF">2020-12-07T14:56:37Z</dcterms:modified>
</cp:coreProperties>
</file>